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1340" windowHeight="6285" tabRatio="958" activeTab="1"/>
  </bookViews>
  <sheets>
    <sheet name="INSTRUCTIONS" sheetId="1" r:id="rId1"/>
    <sheet name="INPUT 1 - 2010 MATERIAL USAGE" sheetId="2" r:id="rId2"/>
    <sheet name="INPUT 2 - INK USAGE &amp; VOC 2010" sheetId="3" r:id="rId3"/>
    <sheet name="INPUT 3 - PRESS RUN HOURS" sheetId="4" r:id="rId4"/>
    <sheet name="INPUT 4 - SHEETFED USAGE &amp; EMIS" sheetId="5" r:id="rId5"/>
    <sheet name="2010 VOC HAP" sheetId="6" r:id="rId6"/>
    <sheet name="2010 USAGE SUMMARY" sheetId="7" r:id="rId7"/>
    <sheet name="2010 VOC-HAP TRACKING " sheetId="8" r:id="rId8"/>
    <sheet name="2010 ROLLING USAGE- COMP" sheetId="9" r:id="rId9"/>
    <sheet name="2010 ROLLING VOC-HAP- COMP" sheetId="10" r:id="rId10"/>
    <sheet name="2009 USAGE" sheetId="11" r:id="rId11"/>
    <sheet name="2009 VOC HAP" sheetId="12" r:id="rId12"/>
    <sheet name="% PRODUCTION" sheetId="13" r:id="rId13"/>
    <sheet name="EMISSION FACTOR CALS" sheetId="14" r:id="rId14"/>
  </sheets>
  <definedNames>
    <definedName name="_xlnm.Print_Area" localSheetId="7">'2010 VOC-HAP TRACKING '!$A$1:$H$471</definedName>
    <definedName name="_xlnm.Print_Area" localSheetId="2">'INPUT 2 - INK USAGE &amp; VOC 2010'!$A$1:$F$32</definedName>
    <definedName name="_xlnm.Print_Area" localSheetId="3">'INPUT 3 - PRESS RUN HOURS'!$A$1:$O$17</definedName>
    <definedName name="_xlnm.Print_Titles" localSheetId="3">'INPUT 3 - PRESS RUN HOURS'!$1:$2</definedName>
    <definedName name="Z_44E83A1F_7830_4C68_A7C5_1F61CB56D9BA_.wvu.Cols" localSheetId="7" hidden="1">'2010 VOC-HAP TRACKING '!$L:$L</definedName>
    <definedName name="Z_44E83A1F_7830_4C68_A7C5_1F61CB56D9BA_.wvu.PrintArea" localSheetId="7" hidden="1">'2010 VOC-HAP TRACKING '!$A$1:$H$412</definedName>
    <definedName name="Z_44E83A1F_7830_4C68_A7C5_1F61CB56D9BA_.wvu.PrintArea" localSheetId="2" hidden="1">'INPUT 2 - INK USAGE &amp; VOC 2010'!$A$1:$F$32</definedName>
    <definedName name="Z_44E83A1F_7830_4C68_A7C5_1F61CB56D9BA_.wvu.PrintArea" localSheetId="3" hidden="1">'INPUT 3 - PRESS RUN HOURS'!$A$1:$O$17</definedName>
    <definedName name="Z_44E83A1F_7830_4C68_A7C5_1F61CB56D9BA_.wvu.PrintTitles" localSheetId="3" hidden="1">'INPUT 3 - PRESS RUN HOURS'!$1:$2</definedName>
    <definedName name="Z_44E83A1F_7830_4C68_A7C5_1F61CB56D9BA_.wvu.Rows" localSheetId="4" hidden="1">'INPUT 4 - SHEETFED USAGE &amp; EMIS'!$47:$52</definedName>
  </definedNames>
  <calcPr fullCalcOnLoad="1"/>
</workbook>
</file>

<file path=xl/comments14.xml><?xml version="1.0" encoding="utf-8"?>
<comments xmlns="http://schemas.openxmlformats.org/spreadsheetml/2006/main">
  <authors>
    <author> </author>
  </authors>
  <commentList>
    <comment ref="B10" authorId="0">
      <text>
        <r>
          <rPr>
            <b/>
            <sz val="8"/>
            <rFont val="Tahoma"/>
            <family val="0"/>
          </rPr>
          <t xml:space="preserve"> :
rag applied</t>
        </r>
      </text>
    </comment>
  </commentList>
</comments>
</file>

<file path=xl/comments5.xml><?xml version="1.0" encoding="utf-8"?>
<comments xmlns="http://schemas.openxmlformats.org/spreadsheetml/2006/main">
  <authors>
    <author> </author>
  </authors>
  <commentList>
    <comment ref="E53" authorId="0">
      <text>
        <r>
          <rPr>
            <b/>
            <sz val="8"/>
            <rFont val="Tahoma"/>
            <family val="0"/>
          </rPr>
          <t xml:space="preserve"> :
Napthalene 
</t>
        </r>
      </text>
    </comment>
  </commentList>
</comments>
</file>

<file path=xl/comments8.xml><?xml version="1.0" encoding="utf-8"?>
<comments xmlns="http://schemas.openxmlformats.org/spreadsheetml/2006/main">
  <authors>
    <author> </author>
  </authors>
  <commentList>
    <comment ref="C285" authorId="0">
      <text>
        <r>
          <rPr>
            <b/>
            <sz val="8"/>
            <rFont val="Tahoma"/>
            <family val="0"/>
          </rPr>
          <t xml:space="preserve"> :
INCLUDES GLYCOL ETHERS &amp; ETHYLENE GLYCOL
</t>
        </r>
      </text>
    </comment>
    <comment ref="C247" authorId="0">
      <text>
        <r>
          <rPr>
            <b/>
            <sz val="8"/>
            <rFont val="Tahoma"/>
            <family val="0"/>
          </rPr>
          <t xml:space="preserve"> :
VOC content obtained from Baldwin Engineer.</t>
        </r>
      </text>
    </comment>
    <comment ref="C264" authorId="0">
      <text>
        <r>
          <rPr>
            <b/>
            <sz val="8"/>
            <rFont val="Tahoma"/>
            <family val="0"/>
          </rPr>
          <t xml:space="preserve"> :
VOC content obtained from Baldwin Engineer.</t>
        </r>
      </text>
    </comment>
  </commentList>
</comments>
</file>

<file path=xl/sharedStrings.xml><?xml version="1.0" encoding="utf-8"?>
<sst xmlns="http://schemas.openxmlformats.org/spreadsheetml/2006/main" count="795" uniqueCount="249">
  <si>
    <t>MEDIA PRINTING CORPORATION - PERMIT NUMBER: 0112363-005-AO</t>
  </si>
  <si>
    <t>Lbs Ink &amp; Varnish Used</t>
  </si>
  <si>
    <t>Lbs VOC Used</t>
  </si>
  <si>
    <t>Emission Factor</t>
  </si>
  <si>
    <t>Lbs VOC Emitted</t>
  </si>
  <si>
    <t>Tons VOC Emitted</t>
  </si>
  <si>
    <t>Month &amp; Year</t>
  </si>
  <si>
    <t>Qty Used in Gallons</t>
  </si>
  <si>
    <t>Lbs VOC per Gallon</t>
  </si>
  <si>
    <t>Lbs Used</t>
  </si>
  <si>
    <t>Pounds VOCs Used</t>
  </si>
  <si>
    <t>Totals</t>
  </si>
  <si>
    <t>Percent Total HAPs</t>
  </si>
  <si>
    <t>Pounds HAPs Used</t>
  </si>
  <si>
    <t>Lbs HAPs Emitted</t>
  </si>
  <si>
    <t>Tons HAPs Emitted</t>
  </si>
  <si>
    <t>SOURCE</t>
  </si>
  <si>
    <t>Webfount 211 Fountain Solution</t>
  </si>
  <si>
    <t>Customer Product Desc</t>
  </si>
  <si>
    <t>PRESS 1 (EU #1)</t>
  </si>
  <si>
    <t>PRESS 2 (EU #2)</t>
  </si>
  <si>
    <t>PRESS 3 (EU #3)</t>
  </si>
  <si>
    <t>TOTAL</t>
  </si>
  <si>
    <r>
      <t xml:space="preserve">12 MONTH ROLLING AVERAGE </t>
    </r>
    <r>
      <rPr>
        <b/>
        <u val="single"/>
        <sz val="9"/>
        <color indexed="10"/>
        <rFont val="Arial"/>
        <family val="2"/>
      </rPr>
      <t>HAP</t>
    </r>
    <r>
      <rPr>
        <b/>
        <sz val="9"/>
        <rFont val="Arial"/>
        <family val="2"/>
      </rPr>
      <t xml:space="preserve"> USE/EMISSIONS TRACKING BY RAW MATERIAL</t>
    </r>
  </si>
  <si>
    <t xml:space="preserve"> 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</si>
  <si>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</si>
  <si>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</si>
  <si>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</si>
  <si>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</si>
  <si>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</si>
  <si>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</si>
  <si>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</si>
  <si>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</si>
  <si>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</si>
  <si>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</si>
  <si>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</si>
  <si>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</si>
  <si>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</si>
  <si>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PRESS</t>
  </si>
  <si>
    <t>STATIONS</t>
  </si>
  <si>
    <t>WIDTH</t>
  </si>
  <si>
    <t>HOURS</t>
  </si>
  <si>
    <t>EU 001</t>
  </si>
  <si>
    <t>EU 002</t>
  </si>
  <si>
    <t>EU 003</t>
  </si>
  <si>
    <t>TOTALS</t>
  </si>
  <si>
    <t>LBS OF VOC USED</t>
  </si>
  <si>
    <t>EMISSION FACTOR</t>
  </si>
  <si>
    <t>CONTROL EFFICIENCY</t>
  </si>
  <si>
    <t xml:space="preserve">LBS VOC EMITTED </t>
  </si>
  <si>
    <t xml:space="preserve">TONS VOC EMITTED </t>
  </si>
  <si>
    <t>LBS EMITTED</t>
  </si>
  <si>
    <t>TONS EMITTED</t>
  </si>
  <si>
    <t>MEDIA PRINTING CORPORATION</t>
  </si>
  <si>
    <t>Facility ID:  0112363</t>
  </si>
  <si>
    <t>---</t>
  </si>
  <si>
    <t xml:space="preserve"> Blanket Wash MRC-F (6.83 lbs/gal)</t>
  </si>
  <si>
    <t>Webfount 211 (9.01 lb/gal)</t>
  </si>
  <si>
    <t>Blanket Wash MRC-F (6.83 lb/gal)</t>
  </si>
  <si>
    <t>INK/VARNISH USED IN LBS</t>
  </si>
  <si>
    <t>VOC EMISSION FROM FOUNTAIN SOL/WASH UP</t>
  </si>
  <si>
    <t>HAP EMISSION FROM  FOUNTAIN SOL/WASH UP</t>
  </si>
  <si>
    <t>MONTH/YEAR</t>
  </si>
  <si>
    <r>
      <t xml:space="preserve">BLANKET WASH &amp; FOUNTAIN SOLUTION - 12 MONTH </t>
    </r>
    <r>
      <rPr>
        <b/>
        <sz val="9"/>
        <color indexed="10"/>
        <rFont val="Arial"/>
        <family val="2"/>
      </rPr>
      <t xml:space="preserve"> </t>
    </r>
    <r>
      <rPr>
        <b/>
        <u val="single"/>
        <sz val="9"/>
        <color indexed="10"/>
        <rFont val="Arial"/>
        <family val="2"/>
      </rPr>
      <t>VOC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>USE/EMISSIONS TRACKING</t>
    </r>
  </si>
  <si>
    <r>
      <t xml:space="preserve">12 MONTH  </t>
    </r>
    <r>
      <rPr>
        <b/>
        <u val="single"/>
        <sz val="9"/>
        <color indexed="10"/>
        <rFont val="Arial"/>
        <family val="2"/>
      </rPr>
      <t>HAP</t>
    </r>
    <r>
      <rPr>
        <b/>
        <sz val="9"/>
        <rFont val="Arial"/>
        <family val="2"/>
      </rPr>
      <t xml:space="preserve"> USE/EMISSIONS TRACKING BY RAW MATERIAL</t>
    </r>
  </si>
  <si>
    <t>Blanket Wash MRC-F</t>
  </si>
  <si>
    <t xml:space="preserve">TONS </t>
  </si>
  <si>
    <t>MONTH</t>
  </si>
  <si>
    <t xml:space="preserve">VOC TONS </t>
  </si>
  <si>
    <t xml:space="preserve">HAP TONS </t>
  </si>
  <si>
    <t xml:space="preserve">TOTAL </t>
  </si>
  <si>
    <t>LBS VOC USED</t>
  </si>
  <si>
    <t>TONS VOC USED</t>
  </si>
  <si>
    <t>Total Gals Blanket Wash:</t>
  </si>
  <si>
    <t>Total Gals Fountain Sol'n:</t>
  </si>
  <si>
    <t xml:space="preserve">Heatset Ink/Varnish </t>
  </si>
  <si>
    <t>NORMALIZED</t>
  </si>
  <si>
    <t xml:space="preserve">JAN </t>
  </si>
  <si>
    <t xml:space="preserve">MRC </t>
  </si>
  <si>
    <t>FOUNTAIN SOLUTION 211</t>
  </si>
  <si>
    <t>e1</t>
  </si>
  <si>
    <t>e2</t>
  </si>
  <si>
    <t>e3</t>
  </si>
  <si>
    <t>e4</t>
  </si>
  <si>
    <t xml:space="preserve"> MONTH </t>
  </si>
  <si>
    <t>INK</t>
  </si>
  <si>
    <t>FOUNTAIN SOLUTION</t>
  </si>
  <si>
    <t>WASH UP</t>
  </si>
  <si>
    <t xml:space="preserve">LBS </t>
  </si>
  <si>
    <t>GAL</t>
  </si>
  <si>
    <t>JUNE</t>
  </si>
  <si>
    <t>JULY</t>
  </si>
  <si>
    <t>.</t>
  </si>
  <si>
    <t>Fountain Sol</t>
  </si>
  <si>
    <t>Wash ( Impact Washers)</t>
  </si>
  <si>
    <t>E1</t>
  </si>
  <si>
    <t>E2</t>
  </si>
  <si>
    <t>E3</t>
  </si>
  <si>
    <t>Emission factors (%)</t>
  </si>
  <si>
    <t xml:space="preserve">AUG </t>
  </si>
  <si>
    <t>PERCENT PRODUCTION</t>
  </si>
  <si>
    <t>2. ENTER THE VOC IN LBS FOR EACH MONTH INTO THE YELLOW CELLS</t>
  </si>
  <si>
    <t>1. ENTER THE RUN HOURS FOR EACH PRESS EACH MONTH INTO THE YELLOW CELLS.</t>
  </si>
  <si>
    <t>INSTRUCTIONS</t>
  </si>
  <si>
    <t>INPUT 3 - PRESS RUN HOURS</t>
  </si>
  <si>
    <t>1. ENTER INK/VARNISH USAGE INTO POUNDS IN THE YELLOW CELLS.</t>
  </si>
  <si>
    <t xml:space="preserve">MONTHS </t>
  </si>
  <si>
    <t xml:space="preserve">RUN HOURS </t>
  </si>
  <si>
    <t xml:space="preserve">Sheetfed Ink </t>
  </si>
  <si>
    <t xml:space="preserve">MATERIAL/MONTH </t>
  </si>
  <si>
    <t xml:space="preserve">MATERIAL SPECS </t>
  </si>
  <si>
    <t>VOC (LBS/GAL)</t>
  </si>
  <si>
    <t>VOC %</t>
  </si>
  <si>
    <t xml:space="preserve">HAP </t>
  </si>
  <si>
    <t>DEN (LBS/GAL)</t>
  </si>
  <si>
    <t>3451 U Fountain Solution (Gals)</t>
  </si>
  <si>
    <t>Alkaless 3000 (Gal)</t>
  </si>
  <si>
    <t>3451 U Fountain Solution (Lbs)</t>
  </si>
  <si>
    <t>Alkaless 3000 (Lbs)</t>
  </si>
  <si>
    <t>INPUT 4: SHEETFED USAGE &amp; EMISS</t>
  </si>
  <si>
    <t>1. ENTER THE RUN HOURS FOR THE SHEETFED PRESS</t>
  </si>
  <si>
    <t>2. ENTER MATERIAL USAGE FOR INK, FOUNTAIN SOLUTION AND WASH UP INTO THE YELLOW CELLS</t>
  </si>
  <si>
    <t>3451 U Fountain Solution</t>
  </si>
  <si>
    <t xml:space="preserve">Alkaless 3000 </t>
  </si>
  <si>
    <t>Total (Tons)</t>
  </si>
  <si>
    <t xml:space="preserve">3. THE ABOVE TWO NUMBERS FOR EACH MONTH CAN BE FOUND ON THE CUSTOMER VOC USAGE REPORT EMAILED FROM FLINT GROUP. </t>
  </si>
  <si>
    <t>Autowash 9000 (6.70 lb/gal)</t>
  </si>
  <si>
    <t xml:space="preserve"> Blanket Wash 9000 (6.50 lbs/gal)</t>
  </si>
  <si>
    <t>HAP EMISSIONS</t>
  </si>
  <si>
    <t xml:space="preserve">DJF </t>
  </si>
  <si>
    <t>MAM</t>
  </si>
  <si>
    <t>JJA</t>
  </si>
  <si>
    <t>SON</t>
  </si>
  <si>
    <t>BLANKET WASH 9000</t>
  </si>
  <si>
    <t>Blanket Wash 9000</t>
  </si>
  <si>
    <t>Blanket Wash 9000 (Gal)</t>
  </si>
  <si>
    <t>Blanket Wash 9000 (Lbs)</t>
  </si>
  <si>
    <t>Blanket 9000</t>
  </si>
  <si>
    <t>Alkaless 3000</t>
  </si>
  <si>
    <t>Sheetfed Ink</t>
  </si>
  <si>
    <t>TONS OF NAPTHALENE EMISSION</t>
  </si>
  <si>
    <t xml:space="preserve">WASH UP </t>
  </si>
  <si>
    <t>Gal</t>
  </si>
  <si>
    <t>Jan</t>
  </si>
  <si>
    <t xml:space="preserve">Month </t>
  </si>
  <si>
    <t xml:space="preserve">Feb </t>
  </si>
  <si>
    <t>mar</t>
  </si>
  <si>
    <t>Apr</t>
  </si>
  <si>
    <t>May</t>
  </si>
  <si>
    <t xml:space="preserve">June </t>
  </si>
  <si>
    <t xml:space="preserve">July </t>
  </si>
  <si>
    <t xml:space="preserve">Aug </t>
  </si>
  <si>
    <t>Sep</t>
  </si>
  <si>
    <t>Oct</t>
  </si>
  <si>
    <t xml:space="preserve">Nov </t>
  </si>
  <si>
    <t>Dec</t>
  </si>
  <si>
    <t>Feb</t>
  </si>
  <si>
    <t>Mar</t>
  </si>
  <si>
    <t>Jun</t>
  </si>
  <si>
    <t>Jul</t>
  </si>
  <si>
    <t>Aug</t>
  </si>
  <si>
    <t>Nov</t>
  </si>
  <si>
    <t xml:space="preserve">POLLUTANT </t>
  </si>
  <si>
    <t xml:space="preserve">PERMIT LIMIT </t>
  </si>
  <si>
    <t xml:space="preserve">Inks </t>
  </si>
  <si>
    <t>Fountain Solution</t>
  </si>
  <si>
    <t>Wash Up</t>
  </si>
  <si>
    <t xml:space="preserve">lbs </t>
  </si>
  <si>
    <t>gal</t>
  </si>
  <si>
    <t xml:space="preserve">VOC </t>
  </si>
  <si>
    <t xml:space="preserve">HAPS </t>
  </si>
  <si>
    <t xml:space="preserve">tons/yr </t>
  </si>
  <si>
    <t>PERMIT LIMIT - ROLLING 12 MONTH TOTAL</t>
  </si>
  <si>
    <t>IN COMPLIANCE?</t>
  </si>
  <si>
    <t>Sheetfed Ink (Lbs)</t>
  </si>
  <si>
    <t>Autowash 9000 (6.91 lb/gal)</t>
  </si>
  <si>
    <t>ETHYLENE GLYCOL
(TONS/YR)</t>
  </si>
  <si>
    <t>NAPTHALENE 
(TONS/YR)</t>
  </si>
  <si>
    <t>TOTAL
(TONS/YR)</t>
  </si>
  <si>
    <t>MEDIA PRINTING CORPORATION - PERMIT NUMBER: 0112363-008-AO</t>
  </si>
  <si>
    <t xml:space="preserve">MEDIA PRINTING - E04 HEIDELBERG SHEETFED MATERIAL USAGE &amp; VOC/HAP TRACKING </t>
  </si>
  <si>
    <t>Nicoat Coating (Lbs)</t>
  </si>
  <si>
    <t xml:space="preserve">Nicoat Coating </t>
  </si>
  <si>
    <t>Lbs Ink/Varn/Coat:</t>
  </si>
  <si>
    <t>INK/VARNISH/COATING</t>
  </si>
  <si>
    <t>EU#1, EU#2, EU#3 &amp; EU#4</t>
  </si>
  <si>
    <t>EU#1 INK USAGE AND VOC EMISSION</t>
  </si>
  <si>
    <t>EU#2  INK USAGE AND VOC EMISSION</t>
  </si>
  <si>
    <t>EU#3  INK USAGE AND VOC EMISSION</t>
  </si>
  <si>
    <t>EU#1,EU#2 &amp; EU#3</t>
  </si>
  <si>
    <t xml:space="preserve">EU#4 RUN HOURS </t>
  </si>
  <si>
    <t xml:space="preserve">EU#4 MATERIAL USAGE </t>
  </si>
  <si>
    <t xml:space="preserve">EU#4 VOC EMISSION </t>
  </si>
  <si>
    <t xml:space="preserve">EU#4 HAP EMISSION </t>
  </si>
  <si>
    <t>EU#1,EU#2,EU#3 &amp; EU#4</t>
  </si>
  <si>
    <t>(EU#1, EU#2 &amp; EU#3)</t>
  </si>
  <si>
    <t>EU#1 USAGE AND VOC EMISSION</t>
  </si>
  <si>
    <t>EU#2 USAGE AND VOC EMISSION</t>
  </si>
  <si>
    <t>EU#3 USAGE AND VOC EMISSION</t>
  </si>
  <si>
    <t>EU#1 USAGE AND EMISSION</t>
  </si>
  <si>
    <t xml:space="preserve">EU#1 HAP EMISSION </t>
  </si>
  <si>
    <t xml:space="preserve">EU#2 HAP EMISSION </t>
  </si>
  <si>
    <t xml:space="preserve">EU#3 HAP EMISSION </t>
  </si>
  <si>
    <r>
      <t xml:space="preserve">INKS/VARNISHES - TOTAL </t>
    </r>
    <r>
      <rPr>
        <b/>
        <u val="single"/>
        <sz val="9"/>
        <color indexed="10"/>
        <rFont val="Arial"/>
        <family val="2"/>
      </rPr>
      <t>VOC</t>
    </r>
    <r>
      <rPr>
        <b/>
        <sz val="9"/>
        <rFont val="Arial"/>
        <family val="2"/>
      </rPr>
      <t xml:space="preserve"> USE/EMISSIONS TRACKING</t>
    </r>
  </si>
  <si>
    <t>12 MONTH ROLLING</t>
  </si>
  <si>
    <t>INK USAGE (EU#1,EU#2 &amp; EU#3)</t>
  </si>
  <si>
    <t>% PRODUCTION</t>
  </si>
  <si>
    <t>IN COMPLIANCE ?</t>
  </si>
  <si>
    <t>12 MONTH ROLLING  VOC EMISSION</t>
  </si>
  <si>
    <t>12 MONTH ROLLING HAP EMISION</t>
  </si>
  <si>
    <t>TOTAL INK/VARNISH/COATING  USAGE (YTD)</t>
  </si>
  <si>
    <t>TOTALWASH/FOUNTAIN USAGE (YTD)</t>
  </si>
  <si>
    <t>XYLENE 
(TONS/YR)</t>
  </si>
  <si>
    <t>DIETHYLENE GLYCOL BUTYL ETHER 
(TONS/YR)</t>
  </si>
  <si>
    <t xml:space="preserve">MEDIA PRINTING CORPORATION </t>
  </si>
  <si>
    <t xml:space="preserve">MEDIA PRINTING CORPORATION  </t>
  </si>
  <si>
    <t>TONS OF GLYCOL ETHER</t>
  </si>
  <si>
    <t>GLYCOL ETHER
(TONS/YR)</t>
  </si>
  <si>
    <t xml:space="preserve">Nicoat Coatings </t>
  </si>
  <si>
    <t>BALDWIN IMPACT CLOTH</t>
  </si>
  <si>
    <t>WASH BIK-1</t>
  </si>
  <si>
    <t xml:space="preserve">Nos. </t>
  </si>
  <si>
    <t>Nos.</t>
  </si>
  <si>
    <t xml:space="preserve"> Wash BIK-1 (6.82 lbs/gal)</t>
  </si>
  <si>
    <t>EU#1 USAGE AND EMISSION (Wash BIK-1 used on only EU#1)</t>
  </si>
  <si>
    <t xml:space="preserve">EU#1 USAGE AND EMISSION </t>
  </si>
  <si>
    <t xml:space="preserve">EU#2 USAGE AND EMISSION </t>
  </si>
  <si>
    <t>Baldwin Impact Cloth  (Used on  EU#1 &amp; EU#2)</t>
  </si>
  <si>
    <t>Lbs VOC in Each Roll</t>
  </si>
  <si>
    <t xml:space="preserve">Qty Used </t>
  </si>
  <si>
    <t>INPUT 2 - INK USAGE &amp; VOC 2010</t>
  </si>
  <si>
    <t>INPUT 1 - 2010 MATERIAL USAGE ( THIS SHEET DOES NOT COVER  INKS/VARNISH. PLEASE ENTER INK/VARNISH USAGE ON INPUT 2 - INK USAGE &amp; VOC 2010)</t>
  </si>
  <si>
    <t xml:space="preserve">2010 MATERIAL USAGE </t>
  </si>
  <si>
    <t>***THIS SHEET DOES NOT COVER  INKS/VARNISH. PLEASE ENTER INK/VARNISH USAGE ON INPUT 2 - INK USAGE &amp; VOC 2010 (NEXT TAB)</t>
  </si>
  <si>
    <r>
      <t xml:space="preserve">INK USAGE AND VOC </t>
    </r>
    <r>
      <rPr>
        <b/>
        <sz val="10"/>
        <color indexed="10"/>
        <rFont val="Arial"/>
        <family val="2"/>
      </rPr>
      <t>JAN 2010 TO DEC 2010</t>
    </r>
  </si>
  <si>
    <t xml:space="preserve">MEDIA PRINTING - 2010 PRESS RUN HOURS </t>
  </si>
  <si>
    <r>
      <t xml:space="preserve"> SUMMARY OF USAGE </t>
    </r>
    <r>
      <rPr>
        <b/>
        <sz val="9"/>
        <color indexed="10"/>
        <rFont val="Arial"/>
        <family val="2"/>
      </rPr>
      <t>(JAN 2010 - DEC 2010)</t>
    </r>
  </si>
  <si>
    <t xml:space="preserve">2010 MONTHLY INK/VARN/COAT, FOUNTAIN SOLUTION AND WASH UP USAGE </t>
  </si>
  <si>
    <r>
      <t xml:space="preserve"> MONTHLY SUMMARY OF VOC &amp; HAP USAGE AND EMISSIONS </t>
    </r>
    <r>
      <rPr>
        <b/>
        <sz val="9"/>
        <color indexed="10"/>
        <rFont val="Arial"/>
        <family val="2"/>
      </rPr>
      <t>(JAN 2010- DEC 2010)</t>
    </r>
  </si>
  <si>
    <t xml:space="preserve">2010 VOC / HAP EMISSION FROM FOUNTAIN SOLUTION AND CLEAN UP </t>
  </si>
  <si>
    <t>2010 INDIVIDUAL HAP EMISSIONS</t>
  </si>
  <si>
    <t xml:space="preserve">N/A </t>
  </si>
  <si>
    <t xml:space="preserve">Emission Factors </t>
  </si>
  <si>
    <t>1. ENTER USAGE FOR THE CHEMICALS ( BLANKET WASH 9000, MRC, FOUNTAIN SOLUTION 211,WASH BIK-1 &amp; BALDWIN) ON A MONTHLY BASIS INTO THE YELLOW CELLS.</t>
  </si>
  <si>
    <r>
      <t xml:space="preserve"> MONTHLY VOC &amp; HAP EMISSION </t>
    </r>
    <r>
      <rPr>
        <b/>
        <sz val="9"/>
        <color indexed="10"/>
        <rFont val="Arial"/>
        <family val="2"/>
      </rPr>
      <t>(JAN 2010 - DEC 2010)</t>
    </r>
  </si>
  <si>
    <t xml:space="preserve">2010 ROLLING INK, FOUNTAIN SOLUTION AND WASH UP USAGE </t>
  </si>
  <si>
    <r>
      <t xml:space="preserve">12 MONTH ROLLING  VOC &amp; HAP EMISSION </t>
    </r>
    <r>
      <rPr>
        <b/>
        <sz val="9"/>
        <color indexed="10"/>
        <rFont val="Arial"/>
        <family val="2"/>
      </rPr>
      <t>(JAN 2010 - DEC 2010)</t>
    </r>
  </si>
  <si>
    <t xml:space="preserve">2009 MONTHLY INK, FOUNTAIN SOLUTION AND WASH UP USAGE </t>
  </si>
  <si>
    <r>
      <t xml:space="preserve">MONTHLY  VOC &amp; HAP EMISSION </t>
    </r>
    <r>
      <rPr>
        <b/>
        <sz val="9"/>
        <color indexed="10"/>
        <rFont val="Arial"/>
        <family val="2"/>
      </rPr>
      <t>(JAN 2009 - DEC 2009)</t>
    </r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</si>
</sst>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;;"/>
    <numFmt numFmtId="165" formatCode="[$-409]dddd\,\ mmmm\ dd\,\ yyyy"/>
    <numFmt numFmtId="166" formatCode="mm/dd/yy;@"/>
    <numFmt numFmtId="167" formatCode="mm/dd/yyyy"/>
    <numFmt numFmtId="168" formatCode="dd\-mmm\-yy"/>
    <numFmt numFmtId="169" formatCode="#,##0.0"/>
    <numFmt numFmtId="170" formatCode="00000"/>
    <numFmt numFmtId="171" formatCode="[$-409]mmm\-yy;@"/>
    <numFmt numFmtId="172" formatCode="0.0000"/>
    <numFmt numFmtId="173" formatCode="0.00000"/>
    <numFmt numFmtId="174" formatCode="_(* #,##0.0000_);_(* \(#,##0.0000\);_(* &quot;-&quot;??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mmmm\-yy;@"/>
    <numFmt numFmtId="180" formatCode="#,##0.0000"/>
    <numFmt numFmtId="181" formatCode="_(* #,##0_);_(* \(#,##0\);_(* &quot;-&quot;??_);_(@_)"/>
    <numFmt numFmtId="182" formatCode="0.000"/>
    <numFmt numFmtId="183" formatCode="0.0"/>
    <numFmt numFmtId="184" formatCode="0.000000"/>
    <numFmt numFmtId="185" formatCode="0.0000000"/>
    <numFmt numFmtId="186" formatCode="_(* #,##0.0_);_(* \(#,##0.0\);_(* &quot;-&quot;??_);_(@_)"/>
    <numFmt numFmtId="187" formatCode="_(* #,##0.000_);_(* \(#,##0.000\);_(* &quot;-&quot;??_);_(@_)"/>
    <numFmt numFmtId="188" formatCode="_(* #,##0.0000_);_(* \(#,##0.0000\);_(* &quot;-&quot;??_);_(@_)"/>
    <numFmt numFmtId="189" formatCode="0.00000000"/>
    <numFmt numFmtId="190" formatCode="#,##0.000"/>
    <numFmt numFmtId="191" formatCode="0.0%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#,##0.0000000000"/>
  </numFmts>
  <fonts count="26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b/>
      <u val="single"/>
      <sz val="9"/>
      <color indexed="10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4"/>
      <name val="Arial"/>
      <family val="2"/>
    </font>
    <font>
      <b/>
      <sz val="10"/>
      <color indexed="8"/>
      <name val="Verdana"/>
      <family val="2"/>
    </font>
    <font>
      <b/>
      <sz val="9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2"/>
    </font>
    <font>
      <sz val="10"/>
      <color indexed="8"/>
      <name val="Verdana"/>
      <family val="2"/>
    </font>
    <font>
      <b/>
      <sz val="14"/>
      <color indexed="9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sz val="8"/>
      <name val="Tahoma"/>
      <family val="0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5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172" fontId="5" fillId="0" borderId="3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4" fillId="0" borderId="4" xfId="0" applyNumberFormat="1" applyFont="1" applyBorder="1" applyAlignment="1">
      <alignment horizontal="center" vertical="center" wrapText="1"/>
    </xf>
    <xf numFmtId="43" fontId="4" fillId="0" borderId="4" xfId="15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43" fontId="4" fillId="0" borderId="6" xfId="15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9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9" fillId="0" borderId="3" xfId="0" applyFont="1" applyBorder="1" applyAlignment="1">
      <alignment/>
    </xf>
    <xf numFmtId="4" fontId="0" fillId="0" borderId="3" xfId="0" applyNumberForma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43" fontId="9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center"/>
    </xf>
    <xf numFmtId="9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3" fontId="4" fillId="0" borderId="0" xfId="15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3" fontId="4" fillId="0" borderId="7" xfId="15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" fillId="0" borderId="8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182" fontId="4" fillId="0" borderId="0" xfId="0" applyNumberFormat="1" applyFont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182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182" fontId="4" fillId="0" borderId="15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9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4" fontId="9" fillId="0" borderId="0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2" fontId="9" fillId="0" borderId="3" xfId="0" applyNumberFormat="1" applyFont="1" applyBorder="1" applyAlignment="1">
      <alignment horizontal="center" vertical="center" wrapText="1"/>
    </xf>
    <xf numFmtId="43" fontId="0" fillId="0" borderId="0" xfId="0" applyNumberFormat="1" applyFont="1" applyBorder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182" fontId="9" fillId="0" borderId="0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9" fillId="0" borderId="3" xfId="0" applyFont="1" applyFill="1" applyBorder="1" applyAlignment="1">
      <alignment/>
    </xf>
    <xf numFmtId="43" fontId="14" fillId="0" borderId="0" xfId="0" applyNumberFormat="1" applyFont="1" applyBorder="1" applyAlignment="1">
      <alignment horizontal="center"/>
    </xf>
    <xf numFmtId="43" fontId="4" fillId="0" borderId="3" xfId="15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 wrapText="1"/>
    </xf>
    <xf numFmtId="172" fontId="4" fillId="0" borderId="3" xfId="0" applyNumberFormat="1" applyFont="1" applyBorder="1" applyAlignment="1">
      <alignment horizontal="center" vertical="center" wrapText="1"/>
    </xf>
    <xf numFmtId="17" fontId="5" fillId="0" borderId="1" xfId="0" applyNumberFormat="1" applyFont="1" applyBorder="1" applyAlignment="1">
      <alignment horizontal="center"/>
    </xf>
    <xf numFmtId="0" fontId="0" fillId="2" borderId="0" xfId="0" applyFill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4" fontId="9" fillId="0" borderId="3" xfId="0" applyNumberFormat="1" applyFont="1" applyBorder="1" applyAlignment="1" applyProtection="1">
      <alignment horizontal="center" vertical="center" wrapText="1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43" fontId="9" fillId="0" borderId="3" xfId="15" applyFont="1" applyBorder="1" applyAlignment="1" applyProtection="1">
      <alignment horizontal="center" vertical="center" wrapText="1"/>
      <protection/>
    </xf>
    <xf numFmtId="0" fontId="9" fillId="0" borderId="3" xfId="0" applyFont="1" applyBorder="1" applyAlignment="1" applyProtection="1">
      <alignment horizontal="center" vertical="top" wrapText="1"/>
      <protection/>
    </xf>
    <xf numFmtId="9" fontId="9" fillId="0" borderId="3" xfId="0" applyNumberFormat="1" applyFont="1" applyBorder="1" applyAlignment="1" applyProtection="1">
      <alignment horizontal="center" vertical="top" wrapText="1"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4" fontId="0" fillId="0" borderId="3" xfId="0" applyNumberFormat="1" applyBorder="1" applyAlignment="1" applyProtection="1">
      <alignment horizontal="center"/>
      <protection/>
    </xf>
    <xf numFmtId="4" fontId="9" fillId="0" borderId="3" xfId="0" applyNumberFormat="1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4" fontId="9" fillId="0" borderId="3" xfId="15" applyNumberFormat="1" applyFont="1" applyBorder="1" applyAlignment="1" applyProtection="1">
      <alignment horizontal="center" vertical="center" wrapText="1"/>
      <protection/>
    </xf>
    <xf numFmtId="10" fontId="9" fillId="0" borderId="3" xfId="0" applyNumberFormat="1" applyFont="1" applyBorder="1" applyAlignment="1" applyProtection="1">
      <alignment horizontal="center" vertical="top" wrapText="1"/>
      <protection/>
    </xf>
    <xf numFmtId="2" fontId="9" fillId="0" borderId="3" xfId="0" applyNumberFormat="1" applyFont="1" applyBorder="1" applyAlignment="1" applyProtection="1">
      <alignment horizontal="center" wrapText="1"/>
      <protection/>
    </xf>
    <xf numFmtId="10" fontId="0" fillId="0" borderId="3" xfId="0" applyNumberFormat="1" applyBorder="1" applyAlignment="1" applyProtection="1">
      <alignment horizontal="center"/>
      <protection/>
    </xf>
    <xf numFmtId="180" fontId="0" fillId="0" borderId="3" xfId="0" applyNumberFormat="1" applyBorder="1" applyAlignment="1" applyProtection="1">
      <alignment horizontal="center"/>
      <protection/>
    </xf>
    <xf numFmtId="180" fontId="9" fillId="0" borderId="3" xfId="0" applyNumberFormat="1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10" fontId="0" fillId="0" borderId="0" xfId="0" applyNumberFormat="1" applyAlignment="1" applyProtection="1">
      <alignment/>
      <protection/>
    </xf>
    <xf numFmtId="0" fontId="9" fillId="0" borderId="3" xfId="0" applyFont="1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4" fontId="0" fillId="0" borderId="16" xfId="0" applyNumberFormat="1" applyBorder="1" applyAlignment="1" applyProtection="1">
      <alignment horizontal="center"/>
      <protection/>
    </xf>
    <xf numFmtId="10" fontId="0" fillId="0" borderId="16" xfId="0" applyNumberFormat="1" applyBorder="1" applyAlignment="1" applyProtection="1">
      <alignment horizontal="center"/>
      <protection/>
    </xf>
    <xf numFmtId="180" fontId="0" fillId="0" borderId="16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/>
      <protection/>
    </xf>
    <xf numFmtId="10" fontId="0" fillId="0" borderId="0" xfId="0" applyNumberFormat="1" applyBorder="1" applyAlignment="1" applyProtection="1">
      <alignment horizontal="center"/>
      <protection/>
    </xf>
    <xf numFmtId="4" fontId="0" fillId="0" borderId="0" xfId="0" applyNumberFormat="1" applyAlignment="1" applyProtection="1">
      <alignment/>
      <protection/>
    </xf>
    <xf numFmtId="0" fontId="9" fillId="0" borderId="3" xfId="0" applyFont="1" applyBorder="1" applyAlignment="1" applyProtection="1">
      <alignment horizontal="center"/>
      <protection/>
    </xf>
    <xf numFmtId="2" fontId="0" fillId="0" borderId="3" xfId="0" applyNumberFormat="1" applyBorder="1" applyAlignment="1" applyProtection="1">
      <alignment horizontal="center"/>
      <protection/>
    </xf>
    <xf numFmtId="4" fontId="0" fillId="0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190" fontId="0" fillId="0" borderId="3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" fontId="0" fillId="3" borderId="3" xfId="0" applyNumberFormat="1" applyFill="1" applyBorder="1" applyAlignment="1" applyProtection="1">
      <alignment horizontal="center"/>
      <protection locked="0"/>
    </xf>
    <xf numFmtId="2" fontId="5" fillId="0" borderId="3" xfId="0" applyNumberFormat="1" applyFont="1" applyBorder="1" applyAlignment="1" applyProtection="1">
      <alignment horizontal="center"/>
      <protection/>
    </xf>
    <xf numFmtId="0" fontId="5" fillId="0" borderId="3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3" xfId="0" applyFont="1" applyBorder="1" applyAlignment="1" applyProtection="1">
      <alignment horizontal="center" vertical="center"/>
      <protection/>
    </xf>
    <xf numFmtId="16" fontId="9" fillId="0" borderId="3" xfId="0" applyNumberFormat="1" applyFont="1" applyBorder="1" applyAlignment="1" applyProtection="1">
      <alignment horizontal="center" vertical="center"/>
      <protection/>
    </xf>
    <xf numFmtId="190" fontId="9" fillId="0" borderId="3" xfId="0" applyNumberFormat="1" applyFont="1" applyBorder="1" applyAlignment="1" applyProtection="1">
      <alignment horizontal="center"/>
      <protection/>
    </xf>
    <xf numFmtId="4" fontId="0" fillId="3" borderId="3" xfId="0" applyNumberFormat="1" applyFont="1" applyFill="1" applyBorder="1" applyAlignment="1" applyProtection="1">
      <alignment horizontal="center"/>
      <protection locked="0"/>
    </xf>
    <xf numFmtId="4" fontId="0" fillId="0" borderId="3" xfId="0" applyNumberFormat="1" applyBorder="1" applyAlignment="1" applyProtection="1">
      <alignment horizontal="center"/>
      <protection locked="0"/>
    </xf>
    <xf numFmtId="4" fontId="9" fillId="0" borderId="3" xfId="0" applyNumberFormat="1" applyFont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190" fontId="9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2" fontId="9" fillId="0" borderId="3" xfId="0" applyNumberFormat="1" applyFont="1" applyBorder="1" applyAlignment="1">
      <alignment horizontal="center"/>
    </xf>
    <xf numFmtId="0" fontId="13" fillId="0" borderId="0" xfId="0" applyFont="1" applyAlignment="1" applyProtection="1">
      <alignment horizontal="center"/>
      <protection/>
    </xf>
    <xf numFmtId="4" fontId="0" fillId="0" borderId="3" xfId="0" applyNumberFormat="1" applyFont="1" applyBorder="1" applyAlignment="1" applyProtection="1">
      <alignment horizontal="center"/>
      <protection/>
    </xf>
    <xf numFmtId="4" fontId="9" fillId="0" borderId="0" xfId="0" applyNumberFormat="1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6" fontId="9" fillId="0" borderId="3" xfId="0" applyNumberFormat="1" applyFont="1" applyBorder="1" applyAlignment="1" applyProtection="1">
      <alignment horizontal="center"/>
      <protection/>
    </xf>
    <xf numFmtId="180" fontId="0" fillId="0" borderId="0" xfId="0" applyNumberFormat="1" applyAlignment="1" applyProtection="1">
      <alignment horizontal="center"/>
      <protection/>
    </xf>
    <xf numFmtId="0" fontId="0" fillId="3" borderId="3" xfId="0" applyFont="1" applyFill="1" applyBorder="1" applyAlignment="1" applyProtection="1">
      <alignment horizontal="center"/>
      <protection locked="0"/>
    </xf>
    <xf numFmtId="2" fontId="0" fillId="3" borderId="3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3" xfId="0" applyFont="1" applyBorder="1" applyAlignment="1">
      <alignment horizontal="center"/>
    </xf>
    <xf numFmtId="172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" fontId="0" fillId="0" borderId="0" xfId="0" applyNumberFormat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" fontId="0" fillId="0" borderId="3" xfId="0" applyNumberFormat="1" applyFont="1" applyBorder="1" applyAlignment="1" applyProtection="1" quotePrefix="1">
      <alignment horizontal="center"/>
      <protection/>
    </xf>
    <xf numFmtId="10" fontId="0" fillId="0" borderId="3" xfId="0" applyNumberFormat="1" applyFont="1" applyBorder="1" applyAlignment="1" applyProtection="1">
      <alignment horizontal="center"/>
      <protection/>
    </xf>
    <xf numFmtId="4" fontId="7" fillId="0" borderId="7" xfId="0" applyNumberFormat="1" applyFont="1" applyFill="1" applyBorder="1" applyAlignment="1" applyProtection="1">
      <alignment horizontal="center"/>
      <protection/>
    </xf>
    <xf numFmtId="0" fontId="4" fillId="0" borderId="8" xfId="0" applyFont="1" applyBorder="1" applyAlignment="1" applyProtection="1">
      <alignment/>
      <protection/>
    </xf>
    <xf numFmtId="4" fontId="4" fillId="0" borderId="7" xfId="0" applyNumberFormat="1" applyFont="1" applyFill="1" applyBorder="1" applyAlignment="1" applyProtection="1">
      <alignment horizontal="center"/>
      <protection/>
    </xf>
    <xf numFmtId="3" fontId="4" fillId="0" borderId="7" xfId="0" applyNumberFormat="1" applyFont="1" applyBorder="1" applyAlignment="1" applyProtection="1">
      <alignment horizontal="center"/>
      <protection/>
    </xf>
    <xf numFmtId="172" fontId="0" fillId="0" borderId="3" xfId="0" applyNumberFormat="1" applyBorder="1" applyAlignment="1" applyProtection="1">
      <alignment horizontal="center"/>
      <protection/>
    </xf>
    <xf numFmtId="182" fontId="0" fillId="0" borderId="3" xfId="0" applyNumberFormat="1" applyBorder="1" applyAlignment="1" applyProtection="1">
      <alignment horizontal="center"/>
      <protection/>
    </xf>
    <xf numFmtId="0" fontId="9" fillId="0" borderId="3" xfId="0" applyFont="1" applyFill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9" fillId="0" borderId="3" xfId="0" applyFont="1" applyBorder="1" applyAlignment="1" applyProtection="1">
      <alignment horizontal="center"/>
      <protection hidden="1"/>
    </xf>
    <xf numFmtId="0" fontId="0" fillId="0" borderId="3" xfId="0" applyFont="1" applyBorder="1" applyAlignment="1" applyProtection="1">
      <alignment horizontal="center"/>
      <protection hidden="1"/>
    </xf>
    <xf numFmtId="0" fontId="0" fillId="0" borderId="3" xfId="0" applyBorder="1" applyAlignment="1" applyProtection="1">
      <alignment/>
      <protection hidden="1"/>
    </xf>
    <xf numFmtId="0" fontId="0" fillId="0" borderId="3" xfId="0" applyBorder="1" applyAlignment="1" applyProtection="1">
      <alignment horizontal="center"/>
      <protection hidden="1"/>
    </xf>
    <xf numFmtId="4" fontId="0" fillId="0" borderId="3" xfId="0" applyNumberFormat="1" applyBorder="1" applyAlignment="1" applyProtection="1">
      <alignment horizontal="center"/>
      <protection hidden="1"/>
    </xf>
    <xf numFmtId="2" fontId="0" fillId="0" borderId="3" xfId="0" applyNumberFormat="1" applyBorder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9" fillId="0" borderId="3" xfId="0" applyFont="1" applyBorder="1" applyAlignment="1" applyProtection="1">
      <alignment/>
      <protection hidden="1"/>
    </xf>
    <xf numFmtId="3" fontId="0" fillId="0" borderId="3" xfId="0" applyNumberFormat="1" applyBorder="1" applyAlignment="1" applyProtection="1">
      <alignment horizontal="center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25" fillId="0" borderId="0" xfId="0" applyFont="1" applyAlignment="1" applyProtection="1">
      <alignment/>
      <protection/>
    </xf>
    <xf numFmtId="0" fontId="0" fillId="0" borderId="8" xfId="0" applyBorder="1" applyAlignment="1">
      <alignment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3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/>
    </xf>
    <xf numFmtId="0" fontId="4" fillId="0" borderId="15" xfId="0" applyFont="1" applyBorder="1" applyAlignment="1">
      <alignment/>
    </xf>
    <xf numFmtId="4" fontId="0" fillId="0" borderId="3" xfId="0" applyNumberFormat="1" applyBorder="1" applyAlignment="1" quotePrefix="1">
      <alignment horizontal="center"/>
    </xf>
    <xf numFmtId="4" fontId="5" fillId="0" borderId="3" xfId="15" applyNumberFormat="1" applyFont="1" applyBorder="1" applyAlignment="1" quotePrefix="1">
      <alignment horizontal="center"/>
    </xf>
    <xf numFmtId="4" fontId="9" fillId="0" borderId="3" xfId="0" applyNumberFormat="1" applyFont="1" applyFill="1" applyBorder="1" applyAlignment="1" quotePrefix="1">
      <alignment horizontal="center"/>
    </xf>
    <xf numFmtId="2" fontId="9" fillId="0" borderId="3" xfId="0" applyNumberFormat="1" applyFont="1" applyBorder="1" applyAlignment="1" applyProtection="1">
      <alignment horizontal="center"/>
      <protection/>
    </xf>
    <xf numFmtId="39" fontId="5" fillId="0" borderId="3" xfId="0" applyNumberFormat="1" applyFont="1" applyBorder="1" applyAlignment="1">
      <alignment horizontal="center"/>
    </xf>
    <xf numFmtId="39" fontId="5" fillId="0" borderId="3" xfId="15" applyNumberFormat="1" applyFont="1" applyBorder="1" applyAlignment="1" applyProtection="1">
      <alignment horizontal="center"/>
      <protection locked="0"/>
    </xf>
    <xf numFmtId="39" fontId="5" fillId="0" borderId="3" xfId="0" applyNumberFormat="1" applyFont="1" applyBorder="1" applyAlignment="1" applyProtection="1">
      <alignment horizontal="center"/>
      <protection locked="0"/>
    </xf>
    <xf numFmtId="39" fontId="5" fillId="0" borderId="3" xfId="15" applyNumberFormat="1" applyFont="1" applyBorder="1" applyAlignment="1">
      <alignment horizontal="center"/>
    </xf>
    <xf numFmtId="39" fontId="23" fillId="0" borderId="3" xfId="15" applyNumberFormat="1" applyFont="1" applyBorder="1" applyAlignment="1">
      <alignment horizontal="center"/>
    </xf>
    <xf numFmtId="4" fontId="5" fillId="0" borderId="3" xfId="0" applyNumberFormat="1" applyFont="1" applyBorder="1" applyAlignment="1" applyProtection="1">
      <alignment horizontal="center"/>
      <protection hidden="1"/>
    </xf>
    <xf numFmtId="4" fontId="0" fillId="0" borderId="0" xfId="0" applyNumberFormat="1" applyAlignment="1">
      <alignment horizontal="center"/>
    </xf>
    <xf numFmtId="4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Fill="1" applyAlignment="1">
      <alignment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4" fontId="4" fillId="0" borderId="14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190" fontId="0" fillId="0" borderId="0" xfId="0" applyNumberFormat="1" applyAlignment="1" applyProtection="1">
      <alignment/>
      <protection/>
    </xf>
    <xf numFmtId="4" fontId="25" fillId="0" borderId="0" xfId="0" applyNumberFormat="1" applyFont="1" applyAlignment="1" applyProtection="1">
      <alignment/>
      <protection/>
    </xf>
    <xf numFmtId="2" fontId="25" fillId="0" borderId="0" xfId="0" applyNumberFormat="1" applyFont="1" applyAlignment="1" applyProtection="1">
      <alignment/>
      <protection/>
    </xf>
    <xf numFmtId="2" fontId="25" fillId="0" borderId="0" xfId="0" applyNumberFormat="1" applyFont="1" applyAlignment="1" applyProtection="1">
      <alignment horizontal="center"/>
      <protection/>
    </xf>
    <xf numFmtId="190" fontId="5" fillId="0" borderId="3" xfId="15" applyNumberFormat="1" applyFont="1" applyBorder="1" applyAlignment="1" quotePrefix="1">
      <alignment horizontal="center"/>
    </xf>
    <xf numFmtId="190" fontId="9" fillId="0" borderId="3" xfId="0" applyNumberFormat="1" applyFont="1" applyFill="1" applyBorder="1" applyAlignment="1" quotePrefix="1">
      <alignment horizontal="center"/>
    </xf>
    <xf numFmtId="182" fontId="0" fillId="0" borderId="18" xfId="0" applyNumberFormat="1" applyFill="1" applyBorder="1" applyAlignment="1" applyProtection="1">
      <alignment horizontal="center"/>
      <protection/>
    </xf>
    <xf numFmtId="2" fontId="4" fillId="0" borderId="15" xfId="0" applyNumberFormat="1" applyFont="1" applyBorder="1" applyAlignment="1">
      <alignment horizontal="center"/>
    </xf>
    <xf numFmtId="0" fontId="0" fillId="0" borderId="0" xfId="0" applyFill="1" applyAlignment="1" applyProtection="1">
      <alignment/>
      <protection locked="0"/>
    </xf>
    <xf numFmtId="0" fontId="0" fillId="0" borderId="3" xfId="0" applyFill="1" applyBorder="1" applyAlignment="1" applyProtection="1">
      <alignment horizontal="center"/>
      <protection/>
    </xf>
    <xf numFmtId="172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0" fillId="0" borderId="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6" fillId="0" borderId="1" xfId="0" applyFont="1" applyBorder="1" applyAlignment="1" applyProtection="1">
      <alignment horizontal="left" wrapText="1"/>
      <protection/>
    </xf>
    <xf numFmtId="0" fontId="16" fillId="0" borderId="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left" wrapText="1"/>
      <protection/>
    </xf>
    <xf numFmtId="0" fontId="9" fillId="0" borderId="1" xfId="0" applyFont="1" applyBorder="1" applyAlignment="1" applyProtection="1">
      <alignment/>
      <protection/>
    </xf>
    <xf numFmtId="0" fontId="15" fillId="0" borderId="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0" borderId="1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5" xfId="0" applyFont="1" applyBorder="1" applyAlignment="1" applyProtection="1">
      <alignment/>
      <protection/>
    </xf>
    <xf numFmtId="0" fontId="15" fillId="0" borderId="6" xfId="0" applyFont="1" applyBorder="1" applyAlignment="1" applyProtection="1">
      <alignment/>
      <protection/>
    </xf>
    <xf numFmtId="0" fontId="15" fillId="0" borderId="19" xfId="0" applyFont="1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4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2" fontId="9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9" fontId="0" fillId="0" borderId="0" xfId="0" applyNumberFormat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9" fontId="4" fillId="0" borderId="0" xfId="0" applyNumberFormat="1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9" fontId="4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17" fillId="2" borderId="0" xfId="0" applyFont="1" applyFill="1" applyAlignment="1">
      <alignment/>
    </xf>
    <xf numFmtId="0" fontId="13" fillId="2" borderId="20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 wrapText="1"/>
    </xf>
    <xf numFmtId="0" fontId="13" fillId="2" borderId="22" xfId="0" applyFont="1" applyFill="1" applyBorder="1" applyAlignment="1">
      <alignment horizontal="center" wrapText="1"/>
    </xf>
    <xf numFmtId="0" fontId="13" fillId="2" borderId="23" xfId="0" applyFont="1" applyFill="1" applyBorder="1" applyAlignment="1">
      <alignment horizontal="center" wrapText="1"/>
    </xf>
    <xf numFmtId="0" fontId="19" fillId="2" borderId="24" xfId="0" applyFont="1" applyFill="1" applyBorder="1" applyAlignment="1">
      <alignment horizontal="left"/>
    </xf>
    <xf numFmtId="0" fontId="19" fillId="2" borderId="3" xfId="15" applyNumberFormat="1" applyFont="1" applyFill="1" applyBorder="1" applyAlignment="1" quotePrefix="1">
      <alignment horizontal="center"/>
    </xf>
    <xf numFmtId="169" fontId="19" fillId="2" borderId="3" xfId="15" applyNumberFormat="1" applyFont="1" applyFill="1" applyBorder="1" applyAlignment="1">
      <alignment horizontal="center"/>
    </xf>
    <xf numFmtId="3" fontId="19" fillId="2" borderId="3" xfId="0" applyNumberFormat="1" applyFont="1" applyFill="1" applyBorder="1" applyAlignment="1" quotePrefix="1">
      <alignment horizontal="center"/>
    </xf>
    <xf numFmtId="0" fontId="19" fillId="2" borderId="25" xfId="0" applyNumberFormat="1" applyFont="1" applyFill="1" applyBorder="1" applyAlignment="1" quotePrefix="1">
      <alignment horizontal="center"/>
    </xf>
    <xf numFmtId="10" fontId="19" fillId="2" borderId="26" xfId="0" applyNumberFormat="1" applyFont="1" applyFill="1" applyBorder="1" applyAlignment="1">
      <alignment horizontal="center"/>
    </xf>
    <xf numFmtId="169" fontId="19" fillId="2" borderId="3" xfId="15" applyNumberFormat="1" applyFont="1" applyFill="1" applyBorder="1" applyAlignment="1" quotePrefix="1">
      <alignment horizontal="center"/>
    </xf>
    <xf numFmtId="3" fontId="19" fillId="2" borderId="3" xfId="15" applyNumberFormat="1" applyFont="1" applyFill="1" applyBorder="1" applyAlignment="1" quotePrefix="1">
      <alignment horizontal="center"/>
    </xf>
    <xf numFmtId="0" fontId="19" fillId="2" borderId="25" xfId="15" applyNumberFormat="1" applyFont="1" applyFill="1" applyBorder="1" applyAlignment="1" quotePrefix="1">
      <alignment horizontal="center"/>
    </xf>
    <xf numFmtId="0" fontId="19" fillId="2" borderId="3" xfId="15" applyNumberFormat="1" applyFont="1" applyFill="1" applyBorder="1" applyAlignment="1">
      <alignment horizontal="center"/>
    </xf>
    <xf numFmtId="0" fontId="13" fillId="2" borderId="27" xfId="0" applyFont="1" applyFill="1" applyBorder="1" applyAlignment="1">
      <alignment horizontal="left"/>
    </xf>
    <xf numFmtId="181" fontId="13" fillId="2" borderId="28" xfId="15" applyNumberFormat="1" applyFont="1" applyFill="1" applyBorder="1" applyAlignment="1" applyProtection="1" quotePrefix="1">
      <alignment horizontal="center"/>
      <protection locked="0"/>
    </xf>
    <xf numFmtId="181" fontId="13" fillId="2" borderId="28" xfId="15" applyNumberFormat="1" applyFont="1" applyFill="1" applyBorder="1" applyAlignment="1" quotePrefix="1">
      <alignment horizontal="center"/>
    </xf>
    <xf numFmtId="3" fontId="13" fillId="2" borderId="28" xfId="0" applyNumberFormat="1" applyFont="1" applyFill="1" applyBorder="1" applyAlignment="1" quotePrefix="1">
      <alignment horizontal="center"/>
    </xf>
    <xf numFmtId="3" fontId="13" fillId="2" borderId="29" xfId="0" applyNumberFormat="1" applyFont="1" applyFill="1" applyBorder="1" applyAlignment="1" quotePrefix="1">
      <alignment horizontal="center"/>
    </xf>
    <xf numFmtId="10" fontId="13" fillId="2" borderId="30" xfId="0" applyNumberFormat="1" applyFont="1" applyFill="1" applyBorder="1" applyAlignment="1">
      <alignment horizontal="center"/>
    </xf>
    <xf numFmtId="181" fontId="13" fillId="2" borderId="28" xfId="15" applyNumberFormat="1" applyFont="1" applyFill="1" applyBorder="1" applyAlignment="1" applyProtection="1">
      <alignment horizontal="center"/>
      <protection locked="0"/>
    </xf>
    <xf numFmtId="181" fontId="13" fillId="2" borderId="28" xfId="15" applyNumberFormat="1" applyFont="1" applyFill="1" applyBorder="1" applyAlignment="1">
      <alignment horizontal="center"/>
    </xf>
    <xf numFmtId="10" fontId="17" fillId="2" borderId="0" xfId="0" applyNumberFormat="1" applyFont="1" applyFill="1" applyAlignment="1">
      <alignment/>
    </xf>
    <xf numFmtId="3" fontId="0" fillId="0" borderId="3" xfId="0" applyNumberFormat="1" applyFont="1" applyBorder="1" applyAlignment="1" applyProtection="1">
      <alignment horizontal="center"/>
      <protection hidden="1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9" fontId="0" fillId="2" borderId="0" xfId="0" applyNumberFormat="1" applyFill="1" applyAlignment="1">
      <alignment/>
    </xf>
    <xf numFmtId="3" fontId="9" fillId="0" borderId="3" xfId="0" applyNumberFormat="1" applyFont="1" applyBorder="1" applyAlignment="1" applyProtection="1">
      <alignment horizontal="center"/>
      <protection/>
    </xf>
    <xf numFmtId="3" fontId="4" fillId="0" borderId="3" xfId="0" applyNumberFormat="1" applyFont="1" applyBorder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center"/>
      <protection/>
    </xf>
    <xf numFmtId="0" fontId="9" fillId="0" borderId="31" xfId="0" applyFont="1" applyBorder="1" applyAlignment="1" applyProtection="1">
      <alignment horizontal="left" vertical="center" wrapText="1"/>
      <protection/>
    </xf>
    <xf numFmtId="0" fontId="9" fillId="0" borderId="32" xfId="0" applyFont="1" applyBorder="1" applyAlignment="1" applyProtection="1">
      <alignment horizontal="left" vertical="center" wrapText="1"/>
      <protection/>
    </xf>
    <xf numFmtId="0" fontId="20" fillId="2" borderId="0" xfId="0" applyFont="1" applyFill="1" applyAlignment="1" applyProtection="1">
      <alignment horizontal="center"/>
      <protection/>
    </xf>
    <xf numFmtId="0" fontId="15" fillId="0" borderId="1" xfId="0" applyFont="1" applyBorder="1" applyAlignment="1" applyProtection="1">
      <alignment horizontal="left" wrapText="1"/>
      <protection/>
    </xf>
    <xf numFmtId="0" fontId="15" fillId="0" borderId="0" xfId="0" applyFont="1" applyBorder="1" applyAlignment="1" applyProtection="1">
      <alignment horizontal="left" wrapText="1"/>
      <protection/>
    </xf>
    <xf numFmtId="0" fontId="15" fillId="0" borderId="10" xfId="0" applyFont="1" applyBorder="1" applyAlignment="1" applyProtection="1">
      <alignment horizontal="left" wrapText="1"/>
      <protection/>
    </xf>
    <xf numFmtId="0" fontId="9" fillId="0" borderId="33" xfId="0" applyFont="1" applyBorder="1" applyAlignment="1" applyProtection="1">
      <alignment horizontal="left" vertical="center" wrapText="1"/>
      <protection/>
    </xf>
    <xf numFmtId="0" fontId="15" fillId="0" borderId="1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5" fillId="0" borderId="10" xfId="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center"/>
      <protection/>
    </xf>
    <xf numFmtId="0" fontId="22" fillId="0" borderId="33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2" xfId="0" applyFont="1" applyBorder="1" applyAlignment="1" applyProtection="1">
      <alignment horizontal="center" vertical="center"/>
      <protection/>
    </xf>
    <xf numFmtId="0" fontId="22" fillId="0" borderId="5" xfId="0" applyFont="1" applyBorder="1" applyAlignment="1" applyProtection="1">
      <alignment horizontal="center" vertical="center"/>
      <protection/>
    </xf>
    <xf numFmtId="0" fontId="22" fillId="0" borderId="6" xfId="0" applyFont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22" fillId="0" borderId="3" xfId="0" applyFont="1" applyBorder="1" applyAlignment="1" applyProtection="1">
      <alignment horizontal="center" vertical="center"/>
      <protection/>
    </xf>
    <xf numFmtId="0" fontId="9" fillId="0" borderId="3" xfId="0" applyFont="1" applyBorder="1" applyAlignment="1" applyProtection="1">
      <alignment horizontal="center" vertical="center"/>
      <protection/>
    </xf>
    <xf numFmtId="0" fontId="9" fillId="0" borderId="3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5" xfId="0" applyFont="1" applyBorder="1" applyAlignment="1" applyProtection="1">
      <alignment horizontal="center"/>
      <protection/>
    </xf>
    <xf numFmtId="0" fontId="9" fillId="0" borderId="6" xfId="0" applyFont="1" applyBorder="1" applyAlignment="1" applyProtection="1">
      <alignment horizontal="center"/>
      <protection/>
    </xf>
    <xf numFmtId="0" fontId="9" fillId="0" borderId="19" xfId="0" applyFont="1" applyBorder="1" applyAlignment="1" applyProtection="1">
      <alignment horizontal="center"/>
      <protection/>
    </xf>
    <xf numFmtId="0" fontId="9" fillId="0" borderId="34" xfId="0" applyFont="1" applyBorder="1" applyAlignment="1" applyProtection="1">
      <alignment horizontal="center"/>
      <protection/>
    </xf>
    <xf numFmtId="0" fontId="9" fillId="0" borderId="35" xfId="0" applyFont="1" applyBorder="1" applyAlignment="1" applyProtection="1">
      <alignment horizontal="center"/>
      <protection/>
    </xf>
    <xf numFmtId="0" fontId="9" fillId="0" borderId="36" xfId="0" applyFont="1" applyBorder="1" applyAlignment="1" applyProtection="1">
      <alignment horizontal="center"/>
      <protection/>
    </xf>
    <xf numFmtId="0" fontId="9" fillId="0" borderId="37" xfId="0" applyFont="1" applyBorder="1" applyAlignment="1" applyProtection="1">
      <alignment horizontal="center"/>
      <protection/>
    </xf>
    <xf numFmtId="0" fontId="9" fillId="0" borderId="38" xfId="0" applyFont="1" applyBorder="1" applyAlignment="1" applyProtection="1">
      <alignment horizontal="center"/>
      <protection/>
    </xf>
    <xf numFmtId="0" fontId="9" fillId="0" borderId="39" xfId="0" applyFont="1" applyBorder="1" applyAlignment="1" applyProtection="1">
      <alignment horizontal="center"/>
      <protection/>
    </xf>
    <xf numFmtId="0" fontId="4" fillId="0" borderId="8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4" fontId="4" fillId="0" borderId="8" xfId="0" applyNumberFormat="1" applyFont="1" applyBorder="1" applyAlignment="1" applyProtection="1">
      <alignment horizontal="center" vertical="center"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172" fontId="4" fillId="0" borderId="7" xfId="0" applyNumberFormat="1" applyFont="1" applyFill="1" applyBorder="1" applyAlignment="1" applyProtection="1">
      <alignment horizontal="center"/>
      <protection/>
    </xf>
    <xf numFmtId="0" fontId="5" fillId="0" borderId="7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9" fillId="0" borderId="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14" fontId="4" fillId="0" borderId="40" xfId="0" applyNumberFormat="1" applyFont="1" applyBorder="1" applyAlignment="1">
      <alignment horizontal="center" vertical="center"/>
    </xf>
    <xf numFmtId="14" fontId="4" fillId="0" borderId="41" xfId="0" applyNumberFormat="1" applyFont="1" applyBorder="1" applyAlignment="1">
      <alignment horizontal="center" vertical="center"/>
    </xf>
    <xf numFmtId="14" fontId="4" fillId="0" borderId="42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45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0" fontId="9" fillId="0" borderId="44" xfId="0" applyFont="1" applyFill="1" applyBorder="1" applyAlignment="1">
      <alignment/>
    </xf>
    <xf numFmtId="0" fontId="7" fillId="0" borderId="25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4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4" fillId="0" borderId="8" xfId="0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9" fillId="0" borderId="17" xfId="0" applyFont="1" applyBorder="1" applyAlignment="1" applyProtection="1">
      <alignment horizontal="center" vertical="center"/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44" xfId="0" applyFont="1" applyBorder="1" applyAlignment="1" applyProtection="1">
      <alignment horizontal="center"/>
      <protection hidden="1"/>
    </xf>
    <xf numFmtId="0" fontId="5" fillId="0" borderId="32" xfId="0" applyFont="1" applyBorder="1" applyAlignment="1">
      <alignment/>
    </xf>
    <xf numFmtId="0" fontId="5" fillId="0" borderId="49" xfId="0" applyFont="1" applyBorder="1" applyAlignment="1">
      <alignment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workbookViewId="0" topLeftCell="A1">
      <selection activeCell="E28" sqref="E28"/>
    </sheetView>
  </sheetViews>
  <sheetFormatPr defaultColWidth="9.140625" defaultRowHeight="12.75"/>
  <cols>
    <col min="1" max="13" width="9.140625" style="96" customWidth="1"/>
    <col min="14" max="14" width="16.8515625" style="96" customWidth="1"/>
    <col min="15" max="16384" width="9.140625" style="96" customWidth="1"/>
  </cols>
  <sheetData>
    <row r="1" spans="1:14" ht="12.75">
      <c r="A1" s="313" t="s">
        <v>53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4" ht="12.75">
      <c r="A2" s="313" t="s">
        <v>54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</row>
    <row r="3" spans="1:14" ht="12.75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4" spans="1:14" ht="18">
      <c r="A4" s="305" t="s">
        <v>103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</row>
    <row r="6" ht="13.5" thickBot="1"/>
    <row r="7" spans="1:14" ht="31.5" customHeight="1">
      <c r="A7" s="309" t="s">
        <v>231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4"/>
    </row>
    <row r="8" spans="1:14" ht="12.75">
      <c r="A8" s="235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236"/>
    </row>
    <row r="9" spans="1:14" ht="12.75">
      <c r="A9" s="306" t="s">
        <v>243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8"/>
    </row>
    <row r="10" spans="1:14" ht="12.75">
      <c r="A10" s="306"/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8"/>
    </row>
    <row r="11" spans="1:14" ht="12.75">
      <c r="A11" s="237"/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9"/>
    </row>
    <row r="12" spans="1:14" ht="12.75">
      <c r="A12" s="240" t="s">
        <v>230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236"/>
    </row>
    <row r="13" spans="1:14" ht="12.75">
      <c r="A13" s="235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236"/>
    </row>
    <row r="14" spans="1:14" ht="12.75">
      <c r="A14" s="241" t="s">
        <v>105</v>
      </c>
      <c r="B14" s="242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236"/>
    </row>
    <row r="15" spans="1:14" ht="12.75">
      <c r="A15" s="241" t="s">
        <v>101</v>
      </c>
      <c r="B15" s="242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236"/>
    </row>
    <row r="16" spans="1:14" ht="12.75">
      <c r="A16" s="310" t="s">
        <v>125</v>
      </c>
      <c r="B16" s="311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2"/>
    </row>
    <row r="17" spans="1:14" ht="12.75">
      <c r="A17" s="235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236"/>
    </row>
    <row r="18" spans="1:14" ht="12.75">
      <c r="A18" s="240" t="s">
        <v>104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236"/>
    </row>
    <row r="19" spans="1:14" ht="12.75">
      <c r="A19" s="235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236"/>
    </row>
    <row r="20" spans="1:14" ht="12.75">
      <c r="A20" s="241" t="s">
        <v>102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236"/>
    </row>
    <row r="21" spans="1:14" ht="12.75">
      <c r="A21" s="235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236"/>
    </row>
    <row r="22" spans="1:14" ht="12.75">
      <c r="A22" s="240" t="s">
        <v>119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236"/>
    </row>
    <row r="23" spans="1:14" ht="12.75">
      <c r="A23" s="235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236"/>
    </row>
    <row r="24" spans="1:14" s="245" customFormat="1" ht="12.75">
      <c r="A24" s="241" t="s">
        <v>120</v>
      </c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4"/>
    </row>
    <row r="25" spans="1:14" s="245" customFormat="1" ht="13.5" thickBot="1">
      <c r="A25" s="246" t="s">
        <v>121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8"/>
    </row>
  </sheetData>
  <sheetProtection password="CDB2" sheet="1" objects="1" scenarios="1"/>
  <mergeCells count="6">
    <mergeCell ref="A16:N16"/>
    <mergeCell ref="A1:N1"/>
    <mergeCell ref="A2:N2"/>
    <mergeCell ref="A4:N4"/>
    <mergeCell ref="A9:N10"/>
    <mergeCell ref="A7:N7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1">
      <selection activeCell="A1" sqref="A1:IV16384"/>
    </sheetView>
  </sheetViews>
  <sheetFormatPr defaultColWidth="9.140625" defaultRowHeight="12.75"/>
  <cols>
    <col min="1" max="1" width="13.140625" style="180" customWidth="1"/>
    <col min="2" max="2" width="25.8515625" style="180" customWidth="1"/>
    <col min="3" max="3" width="19.28125" style="180" customWidth="1"/>
    <col min="4" max="4" width="24.00390625" style="180" bestFit="1" customWidth="1"/>
    <col min="5" max="5" width="18.57421875" style="180" customWidth="1"/>
    <col min="6" max="16384" width="9.140625" style="180" customWidth="1"/>
  </cols>
  <sheetData>
    <row r="1" spans="1:16" s="187" customFormat="1" ht="12.75">
      <c r="A1" s="414" t="s">
        <v>215</v>
      </c>
      <c r="B1" s="414"/>
      <c r="C1" s="414"/>
      <c r="D1" s="414"/>
      <c r="E1" s="414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6" s="187" customFormat="1" ht="12.75">
      <c r="A2" s="414" t="s">
        <v>246</v>
      </c>
      <c r="B2" s="414"/>
      <c r="C2" s="414"/>
      <c r="D2" s="414"/>
      <c r="E2" s="414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4" ht="12.75">
      <c r="A4" s="188" t="s">
        <v>24</v>
      </c>
    </row>
    <row r="5" spans="1:3" ht="12.75">
      <c r="A5" s="189" t="s">
        <v>162</v>
      </c>
      <c r="B5" s="417" t="s">
        <v>172</v>
      </c>
      <c r="C5" s="418"/>
    </row>
    <row r="6" spans="1:3" ht="12.75">
      <c r="A6" s="183" t="s">
        <v>169</v>
      </c>
      <c r="B6" s="183">
        <v>95</v>
      </c>
      <c r="C6" s="183" t="s">
        <v>171</v>
      </c>
    </row>
    <row r="7" spans="1:3" ht="12.75">
      <c r="A7" s="183" t="s">
        <v>170</v>
      </c>
      <c r="B7" s="183">
        <v>23.75</v>
      </c>
      <c r="C7" s="183" t="s">
        <v>171</v>
      </c>
    </row>
    <row r="10" spans="1:5" ht="26.25" customHeight="1">
      <c r="A10" s="415" t="s">
        <v>67</v>
      </c>
      <c r="B10" s="191" t="s">
        <v>208</v>
      </c>
      <c r="C10" s="191" t="s">
        <v>207</v>
      </c>
      <c r="D10" s="191" t="s">
        <v>209</v>
      </c>
      <c r="E10" s="191" t="str">
        <f>C10</f>
        <v>IN COMPLIANCE ?</v>
      </c>
    </row>
    <row r="11" spans="1:5" ht="12.75">
      <c r="A11" s="416"/>
      <c r="B11" s="181" t="s">
        <v>66</v>
      </c>
      <c r="C11" s="181"/>
      <c r="D11" s="181" t="s">
        <v>66</v>
      </c>
      <c r="E11" s="183"/>
    </row>
    <row r="12" spans="1:5" ht="12.75">
      <c r="A12" s="181" t="s">
        <v>26</v>
      </c>
      <c r="B12" s="186">
        <f>'2009 VOC HAP'!B8+'2009 VOC HAP'!B9+'2009 VOC HAP'!B10+'2009 VOC HAP'!B11+'2009 VOC HAP'!B12+'2009 VOC HAP'!B13+'2009 VOC HAP'!B14+'2009 VOC HAP'!B15+'2009 VOC HAP'!B16+'2009 VOC HAP'!B17+'2009 VOC HAP'!B18+'2010 VOC HAP'!B7</f>
        <v>18.076035342730446</v>
      </c>
      <c r="C12" s="186" t="str">
        <f>IF(B12&lt;$B$6,"YES","NO")</f>
        <v>YES</v>
      </c>
      <c r="D12" s="185">
        <f>'2009 VOC HAP'!C8+'2009 VOC HAP'!C9+'2009 VOC HAP'!C10+'2009 VOC HAP'!C11+'2009 VOC HAP'!C12+'2009 VOC HAP'!C13+'2009 VOC HAP'!C14+'2009 VOC HAP'!C15+'2009 VOC HAP'!C16+'2009 VOC HAP'!C17+'2009 VOC HAP'!C18+'2010 VOC HAP'!C7</f>
        <v>1.1288983896274556</v>
      </c>
      <c r="E12" s="184" t="str">
        <f>IF(D12&lt;$B$7,"YES","NO")</f>
        <v>YES</v>
      </c>
    </row>
    <row r="13" spans="1:5" ht="12.75">
      <c r="A13" s="181" t="s">
        <v>27</v>
      </c>
      <c r="B13" s="186">
        <f>'2009 VOC HAP'!B9+'2009 VOC HAP'!B10+'2009 VOC HAP'!B11+'2009 VOC HAP'!B12+'2009 VOC HAP'!B13+'2009 VOC HAP'!B14+'2009 VOC HAP'!B15+'2009 VOC HAP'!B16+'2009 VOC HAP'!B17+'2009 VOC HAP'!B18+'2010 VOC HAP'!B7+'2010 VOC HAP'!B8</f>
        <v>18.080688743520017</v>
      </c>
      <c r="C13" s="186" t="str">
        <f aca="true" t="shared" si="0" ref="C13:C23">IF(B13&lt;$B$6,"YES","NO")</f>
        <v>YES</v>
      </c>
      <c r="D13" s="185">
        <f>'2009 VOC HAP'!C9+'2009 VOC HAP'!C10+'2009 VOC HAP'!C11+'2009 VOC HAP'!C12+'2009 VOC HAP'!C13+'2009 VOC HAP'!C14+'2009 VOC HAP'!C15+'2009 VOC HAP'!C16+'2009 VOC HAP'!C17+'2009 VOC HAP'!C18+'2010 VOC HAP'!C8</f>
        <v>1.0624910961149636</v>
      </c>
      <c r="E13" s="184" t="str">
        <f aca="true" t="shared" si="1" ref="E13:E23">IF(D13&lt;$B$7,"YES","NO")</f>
        <v>YES</v>
      </c>
    </row>
    <row r="14" spans="1:5" ht="12.75">
      <c r="A14" s="181" t="s">
        <v>28</v>
      </c>
      <c r="B14" s="186">
        <f>'2009 VOC HAP'!B10+'2009 VOC HAP'!B11+'2009 VOC HAP'!B12+'2009 VOC HAP'!B13+'2009 VOC HAP'!B14+'2009 VOC HAP'!B15+'2009 VOC HAP'!B16+'2009 VOC HAP'!B17+'2009 VOC HAP'!B18+'2010 VOC HAP'!B9</f>
        <v>16.04215215525434</v>
      </c>
      <c r="C14" s="186" t="str">
        <f t="shared" si="0"/>
        <v>YES</v>
      </c>
      <c r="D14" s="185">
        <f>'2009 VOC HAP'!C10+'2009 VOC HAP'!C11+'2009 VOC HAP'!C12+'2009 VOC HAP'!C13+'2009 VOC HAP'!C14+'2009 VOC HAP'!C15+'2009 VOC HAP'!C16+'2009 VOC HAP'!C17+'2009 VOC HAP'!C18+'2010 VOC HAP'!C9</f>
        <v>0.9859787842370253</v>
      </c>
      <c r="E14" s="184" t="str">
        <f t="shared" si="1"/>
        <v>YES</v>
      </c>
    </row>
    <row r="15" spans="1:5" ht="12.75">
      <c r="A15" s="181" t="s">
        <v>29</v>
      </c>
      <c r="B15" s="186">
        <f>'2009 VOC HAP'!B11+'2009 VOC HAP'!B12+'2009 VOC HAP'!B13+'2009 VOC HAP'!B14+'2009 VOC HAP'!B15+'2009 VOC HAP'!B16+'2009 VOC HAP'!B17+'2009 VOC HAP'!B18+'2010 VOC HAP'!B10</f>
        <v>14.194817614994474</v>
      </c>
      <c r="C15" s="186" t="str">
        <f t="shared" si="0"/>
        <v>YES</v>
      </c>
      <c r="D15" s="185">
        <f>'2009 VOC HAP'!C11+'2009 VOC HAP'!C12+'2009 VOC HAP'!C13+'2009 VOC HAP'!C14+'2009 VOC HAP'!C15+'2009 VOC HAP'!C16+'2009 VOC HAP'!C17+'2009 VOC HAP'!C18+'2010 VOC HAP'!C10</f>
        <v>0.8642770248355166</v>
      </c>
      <c r="E15" s="184" t="str">
        <f t="shared" si="1"/>
        <v>YES</v>
      </c>
    </row>
    <row r="16" spans="1:5" ht="12.75">
      <c r="A16" s="181" t="s">
        <v>30</v>
      </c>
      <c r="B16" s="186">
        <f>'2009 VOC HAP'!B12+'2009 VOC HAP'!B13+'2009 VOC HAP'!B14+'2009 VOC HAP'!B15+'2009 VOC HAP'!B16+'2009 VOC HAP'!B17+'2009 VOC HAP'!B18+'2010 VOC HAP'!B7+'2010 VOC HAP'!B8+'2010 VOC HAP'!B9+'2010 VOC HAP'!B10+'2010 VOC HAP'!B11</f>
        <v>18.032588393160356</v>
      </c>
      <c r="C16" s="186" t="str">
        <f t="shared" si="0"/>
        <v>YES</v>
      </c>
      <c r="D16" s="185">
        <f>'2009 VOC HAP'!C12+'2009 VOC HAP'!C13+'2009 VOC HAP'!C14+'2009 VOC HAP'!C15+'2009 VOC HAP'!C16+'2009 VOC HAP'!C17+'2009 VOC HAP'!C18+'2010 VOC HAP'!C7+'2010 VOC HAP'!C8+'2010 VOC HAP'!C9+'2010 VOC HAP'!C10+'2010 VOC HAP'!C11</f>
        <v>1.1607081363906215</v>
      </c>
      <c r="E16" s="184" t="str">
        <f t="shared" si="1"/>
        <v>YES</v>
      </c>
    </row>
    <row r="17" spans="1:5" ht="12.75">
      <c r="A17" s="181" t="s">
        <v>31</v>
      </c>
      <c r="B17" s="186">
        <f>'2009 VOC HAP'!B13+'2009 VOC HAP'!B14+'2009 VOC HAP'!B15+'2009 VOC HAP'!B16+'2009 VOC HAP'!B17+'2009 VOC HAP'!B18+'2010 VOC HAP'!B7+'2010 VOC HAP'!B8+'2010 VOC HAP'!B9+'2010 VOC HAP'!B10+'2010 VOC HAP'!B11+'2010 VOC HAP'!B12</f>
        <v>18.249421609189756</v>
      </c>
      <c r="C17" s="186" t="str">
        <f t="shared" si="0"/>
        <v>YES</v>
      </c>
      <c r="D17" s="185">
        <f>'2009 VOC HAP'!C13+'2009 VOC HAP'!C14+'2009 VOC HAP'!C15+'2009 VOC HAP'!C16+'2009 VOC HAP'!C17+'2009 VOC HAP'!C18+'2010 VOC HAP'!C7+'2010 VOC HAP'!C8+'2010 VOC HAP'!C9+'2010 VOC HAP'!C10+'2010 VOC HAP'!C11+'2010 VOC HAP'!C12</f>
        <v>1.211224744091181</v>
      </c>
      <c r="E17" s="184" t="str">
        <f t="shared" si="1"/>
        <v>YES</v>
      </c>
    </row>
    <row r="18" spans="1:5" ht="12.75">
      <c r="A18" s="181" t="s">
        <v>32</v>
      </c>
      <c r="B18" s="186">
        <f>'2009 VOC HAP'!B14+'2009 VOC HAP'!B15+'2009 VOC HAP'!B16+'2009 VOC HAP'!B17+'2009 VOC HAP'!B18+'2010 VOC HAP'!B7+'2010 VOC HAP'!B8+'2010 VOC HAP'!B9+'2010 VOC HAP'!B10+'2010 VOC HAP'!B11+'2010 VOC HAP'!B12+'2010 VOC HAP'!B13</f>
        <v>17.80012007573144</v>
      </c>
      <c r="C18" s="186" t="str">
        <f t="shared" si="0"/>
        <v>YES</v>
      </c>
      <c r="D18" s="185">
        <f>'2009 VOC HAP'!C14+'2009 VOC HAP'!C15+'2009 VOC HAP'!C16+'2009 VOC HAP'!C17+'2009 VOC HAP'!C18+'2010 VOC HAP'!C7+'2010 VOC HAP'!C8+'2010 VOC HAP'!C9+'2010 VOC HAP'!C10+'2010 VOC HAP'!C11+'2010 VOC HAP'!C12+'2010 VOC HAP'!C13</f>
        <v>1.2082993383902703</v>
      </c>
      <c r="E18" s="184" t="str">
        <f t="shared" si="1"/>
        <v>YES</v>
      </c>
    </row>
    <row r="19" spans="1:5" ht="12.75">
      <c r="A19" s="181" t="s">
        <v>33</v>
      </c>
      <c r="B19" s="186">
        <f>'2009 VOC HAP'!B15+'2009 VOC HAP'!B16+'2009 VOC HAP'!B17+'2009 VOC HAP'!B18+'2010 VOC HAP'!B7+'2010 VOC HAP'!B8+'2010 VOC HAP'!B9+'2010 VOC HAP'!B10+'2010 VOC HAP'!B11+'2010 VOC HAP'!B12+'2010 VOC HAP'!B13+'2010 VOC HAP'!B14</f>
        <v>16.5190191955653</v>
      </c>
      <c r="C19" s="186" t="str">
        <f t="shared" si="0"/>
        <v>YES</v>
      </c>
      <c r="D19" s="185">
        <f>SUM('2009 VOC HAP'!C15:C18)+SUM('2010 VOC HAP'!C7:C14)</f>
        <v>1.1331542758902702</v>
      </c>
      <c r="E19" s="184" t="str">
        <f t="shared" si="1"/>
        <v>YES</v>
      </c>
    </row>
    <row r="20" spans="1:5" ht="12.75">
      <c r="A20" s="181" t="s">
        <v>34</v>
      </c>
      <c r="B20" s="186">
        <f>'2009 VOC HAP'!B16+'2009 VOC HAP'!B17+'2009 VOC HAP'!B18+'2010 VOC HAP'!B7+'2010 VOC HAP'!B8+'2010 VOC HAP'!B9+'2010 VOC HAP'!B10+'2010 VOC HAP'!B11+'2010 VOC HAP'!B12+'2010 VOC HAP'!B13+'2010 VOC HAP'!B14+'2010 VOC HAP'!B15</f>
        <v>15.209083836154766</v>
      </c>
      <c r="C20" s="186" t="str">
        <f t="shared" si="0"/>
        <v>YES</v>
      </c>
      <c r="D20" s="185">
        <f>SUM('2009 VOC HAP'!C16:C18)+SUM('2010 VOC HAP'!C7:C15)</f>
        <v>1.0513627039828535</v>
      </c>
      <c r="E20" s="184" t="str">
        <f t="shared" si="1"/>
        <v>YES</v>
      </c>
    </row>
    <row r="21" spans="1:5" ht="12.75">
      <c r="A21" s="181" t="s">
        <v>35</v>
      </c>
      <c r="B21" s="186">
        <f>'2009 VOC HAP'!B17+'2009 VOC HAP'!B18+'2010 VOC HAP'!B7+'2010 VOC HAP'!B8+'2010 VOC HAP'!B9+'2010 VOC HAP'!B10+'2010 VOC HAP'!B11+'2010 VOC HAP'!B12+'2010 VOC HAP'!B13+'2010 VOC HAP'!B14+'2010 VOC HAP'!B15+'2010 VOC HAP'!B16</f>
        <v>13.382972538883571</v>
      </c>
      <c r="C21" s="186" t="str">
        <f t="shared" si="0"/>
        <v>YES</v>
      </c>
      <c r="D21" s="185">
        <f>SUM('2009 VOC HAP'!C17:C18)+SUM('2010 VOC HAP'!C7:C16)</f>
        <v>0.9175506176263641</v>
      </c>
      <c r="E21" s="184" t="str">
        <f t="shared" si="1"/>
        <v>YES</v>
      </c>
    </row>
    <row r="22" spans="1:5" ht="12.75">
      <c r="A22" s="181" t="s">
        <v>36</v>
      </c>
      <c r="B22" s="186">
        <f>'2009 VOC HAP'!B18+'2010 VOC HAP'!B7+'2010 VOC HAP'!B8+'2010 VOC HAP'!B9+'2010 VOC HAP'!B10+'2010 VOC HAP'!B11+'2010 VOC HAP'!B12+'2010 VOC HAP'!B13+'2010 VOC HAP'!B14+'2010 VOC HAP'!B15+'2010 VOC HAP'!B16+'2010 VOC HAP'!B17+'2010 VOC HAP'!B18</f>
        <v>11.258487910112068</v>
      </c>
      <c r="C22" s="186" t="str">
        <f t="shared" si="0"/>
        <v>YES</v>
      </c>
      <c r="D22" s="185">
        <f>'2009 VOC HAP'!C18+SUM('2010 VOC HAP'!C7:C17)</f>
        <v>0.8021756515661662</v>
      </c>
      <c r="E22" s="184" t="str">
        <f t="shared" si="1"/>
        <v>YES</v>
      </c>
    </row>
    <row r="23" spans="1:5" ht="12.75">
      <c r="A23" s="181" t="s">
        <v>37</v>
      </c>
      <c r="B23" s="186">
        <f>SUM('2010 VOC HAP'!B7:B18)</f>
        <v>9.46479644844962</v>
      </c>
      <c r="C23" s="186" t="str">
        <f t="shared" si="0"/>
        <v>YES</v>
      </c>
      <c r="D23" s="185">
        <f>SUM('2010 VOC HAP'!C7:C18)</f>
        <v>0.6210326999550414</v>
      </c>
      <c r="E23" s="184" t="str">
        <f t="shared" si="1"/>
        <v>YES</v>
      </c>
    </row>
  </sheetData>
  <sheetProtection password="CDB2" sheet="1" objects="1" scenarios="1" selectLockedCells="1" selectUnlockedCells="1"/>
  <mergeCells count="4">
    <mergeCell ref="A10:A11"/>
    <mergeCell ref="B5:C5"/>
    <mergeCell ref="A1:E1"/>
    <mergeCell ref="A2:E2"/>
  </mergeCells>
  <printOptions horizontalCentered="1"/>
  <pageMargins left="0.75" right="0.75" top="1" bottom="1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A1" sqref="A1:IV16384"/>
    </sheetView>
  </sheetViews>
  <sheetFormatPr defaultColWidth="9.140625" defaultRowHeight="12.75"/>
  <cols>
    <col min="1" max="1" width="11.7109375" style="180" customWidth="1"/>
    <col min="2" max="2" width="12.8515625" style="180" customWidth="1"/>
    <col min="3" max="3" width="22.28125" style="180" customWidth="1"/>
    <col min="4" max="4" width="17.8515625" style="180" customWidth="1"/>
    <col min="5" max="16384" width="9.140625" style="180" customWidth="1"/>
  </cols>
  <sheetData>
    <row r="1" spans="1:4" ht="12.75">
      <c r="A1" s="414" t="s">
        <v>214</v>
      </c>
      <c r="B1" s="414"/>
      <c r="C1" s="414"/>
      <c r="D1" s="414"/>
    </row>
    <row r="5" spans="1:4" ht="12.75">
      <c r="A5" s="414" t="s">
        <v>247</v>
      </c>
      <c r="B5" s="414"/>
      <c r="C5" s="414"/>
      <c r="D5" s="414"/>
    </row>
    <row r="6" spans="1:4" ht="12.75">
      <c r="A6" s="179"/>
      <c r="B6" s="179"/>
      <c r="C6" s="179"/>
      <c r="D6" s="179"/>
    </row>
    <row r="7" spans="1:4" ht="12.75">
      <c r="A7" s="414" t="s">
        <v>185</v>
      </c>
      <c r="B7" s="414"/>
      <c r="C7" s="414"/>
      <c r="D7" s="414"/>
    </row>
    <row r="9" spans="1:4" ht="12.75">
      <c r="A9" s="184" t="s">
        <v>84</v>
      </c>
      <c r="B9" s="184" t="s">
        <v>85</v>
      </c>
      <c r="C9" s="184" t="s">
        <v>86</v>
      </c>
      <c r="D9" s="184" t="s">
        <v>87</v>
      </c>
    </row>
    <row r="10" spans="1:4" ht="12.75">
      <c r="A10" s="184"/>
      <c r="B10" s="184" t="s">
        <v>88</v>
      </c>
      <c r="C10" s="184" t="s">
        <v>89</v>
      </c>
      <c r="D10" s="184" t="s">
        <v>89</v>
      </c>
    </row>
    <row r="11" spans="1:4" ht="12.75">
      <c r="A11" s="184" t="s">
        <v>77</v>
      </c>
      <c r="B11" s="190">
        <v>51820.33672875839</v>
      </c>
      <c r="C11" s="190">
        <v>300</v>
      </c>
      <c r="D11" s="190">
        <v>245</v>
      </c>
    </row>
    <row r="12" spans="1:4" ht="12.75">
      <c r="A12" s="184" t="s">
        <v>27</v>
      </c>
      <c r="B12" s="190">
        <v>38031.37057682986</v>
      </c>
      <c r="C12" s="190">
        <v>235</v>
      </c>
      <c r="D12" s="190">
        <v>295</v>
      </c>
    </row>
    <row r="13" spans="1:4" ht="12.75">
      <c r="A13" s="184" t="s">
        <v>28</v>
      </c>
      <c r="B13" s="190">
        <v>44673.11891143272</v>
      </c>
      <c r="C13" s="190">
        <v>475</v>
      </c>
      <c r="D13" s="190">
        <v>470</v>
      </c>
    </row>
    <row r="14" spans="1:4" ht="12.75">
      <c r="A14" s="184" t="s">
        <v>29</v>
      </c>
      <c r="B14" s="190">
        <v>47050.89146873485</v>
      </c>
      <c r="C14" s="190">
        <v>355</v>
      </c>
      <c r="D14" s="190">
        <v>300</v>
      </c>
    </row>
    <row r="15" spans="1:4" ht="12.75">
      <c r="A15" s="184" t="s">
        <v>30</v>
      </c>
      <c r="B15" s="190">
        <v>51529.03109202964</v>
      </c>
      <c r="C15" s="190">
        <v>175</v>
      </c>
      <c r="D15" s="190">
        <v>355</v>
      </c>
    </row>
    <row r="16" spans="1:4" ht="12.75">
      <c r="A16" s="184" t="s">
        <v>31</v>
      </c>
      <c r="B16" s="190">
        <v>44388.81559448792</v>
      </c>
      <c r="C16" s="190">
        <v>365</v>
      </c>
      <c r="D16" s="190">
        <v>195</v>
      </c>
    </row>
    <row r="17" spans="1:4" ht="12.75">
      <c r="A17" s="184" t="s">
        <v>32</v>
      </c>
      <c r="B17" s="190">
        <v>52939.63562772661</v>
      </c>
      <c r="C17" s="190">
        <v>210</v>
      </c>
      <c r="D17" s="190">
        <v>520</v>
      </c>
    </row>
    <row r="18" spans="1:4" ht="12.75">
      <c r="A18" s="184" t="s">
        <v>33</v>
      </c>
      <c r="B18" s="190">
        <v>32369</v>
      </c>
      <c r="C18" s="190">
        <v>55</v>
      </c>
      <c r="D18" s="190">
        <v>465</v>
      </c>
    </row>
    <row r="19" spans="1:4" ht="12.75">
      <c r="A19" s="184" t="s">
        <v>34</v>
      </c>
      <c r="B19" s="190">
        <v>53612.5</v>
      </c>
      <c r="C19" s="190">
        <v>520</v>
      </c>
      <c r="D19" s="190">
        <v>195</v>
      </c>
    </row>
    <row r="20" spans="1:4" ht="12.75">
      <c r="A20" s="184" t="s">
        <v>35</v>
      </c>
      <c r="B20" s="190">
        <v>72480.8</v>
      </c>
      <c r="C20" s="190">
        <v>430</v>
      </c>
      <c r="D20" s="190">
        <v>360</v>
      </c>
    </row>
    <row r="21" spans="1:4" ht="12.75">
      <c r="A21" s="184" t="s">
        <v>36</v>
      </c>
      <c r="B21" s="190">
        <v>86622.2</v>
      </c>
      <c r="C21" s="190">
        <v>635</v>
      </c>
      <c r="D21" s="190">
        <v>410</v>
      </c>
    </row>
    <row r="22" spans="1:4" ht="12.75">
      <c r="A22" s="184" t="s">
        <v>37</v>
      </c>
      <c r="B22" s="190">
        <v>47007.5</v>
      </c>
      <c r="C22" s="190">
        <v>730</v>
      </c>
      <c r="D22" s="190">
        <v>415</v>
      </c>
    </row>
  </sheetData>
  <sheetProtection password="CDB2" sheet="1" objects="1" scenarios="1" selectLockedCells="1" selectUnlockedCells="1"/>
  <mergeCells count="3">
    <mergeCell ref="A5:D5"/>
    <mergeCell ref="A7:D7"/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workbookViewId="0" topLeftCell="A1">
      <selection activeCell="A1" sqref="A1:IV16384"/>
    </sheetView>
  </sheetViews>
  <sheetFormatPr defaultColWidth="9.140625" defaultRowHeight="12.75"/>
  <cols>
    <col min="2" max="2" width="24.7109375" style="0" bestFit="1" customWidth="1"/>
    <col min="3" max="3" width="23.421875" style="0" bestFit="1" customWidth="1"/>
    <col min="4" max="4" width="17.57421875" style="0" bestFit="1" customWidth="1"/>
    <col min="5" max="5" width="12.00390625" style="0" bestFit="1" customWidth="1"/>
  </cols>
  <sheetData>
    <row r="1" spans="1:15" s="3" customFormat="1" ht="12.75">
      <c r="A1" s="390" t="s">
        <v>214</v>
      </c>
      <c r="B1" s="391"/>
      <c r="C1" s="391"/>
      <c r="D1" s="391"/>
      <c r="E1" s="391"/>
      <c r="F1" s="391"/>
      <c r="G1" s="391"/>
      <c r="H1" s="391"/>
      <c r="I1" s="419"/>
      <c r="J1" s="1"/>
      <c r="K1" s="2"/>
      <c r="N1"/>
      <c r="O1" s="2"/>
    </row>
    <row r="2" spans="1:15" s="3" customFormat="1" ht="13.5" thickBot="1">
      <c r="A2" s="392" t="s">
        <v>248</v>
      </c>
      <c r="B2" s="393"/>
      <c r="C2" s="393"/>
      <c r="D2" s="393"/>
      <c r="E2" s="393"/>
      <c r="F2" s="393"/>
      <c r="G2" s="393"/>
      <c r="H2" s="393"/>
      <c r="I2" s="420"/>
      <c r="J2" s="1"/>
      <c r="N2"/>
      <c r="O2" s="2"/>
    </row>
    <row r="3" ht="13.5" thickTop="1"/>
    <row r="5" spans="1:3" ht="12.75">
      <c r="A5" s="421" t="s">
        <v>67</v>
      </c>
      <c r="B5" s="421" t="s">
        <v>68</v>
      </c>
      <c r="C5" s="421" t="s">
        <v>69</v>
      </c>
    </row>
    <row r="6" spans="1:3" ht="12.75">
      <c r="A6" s="422"/>
      <c r="B6" s="422"/>
      <c r="C6" s="422"/>
    </row>
    <row r="7" spans="1:3" ht="12.75">
      <c r="A7" s="37" t="s">
        <v>26</v>
      </c>
      <c r="B7" s="86">
        <v>1.2742056599820768</v>
      </c>
      <c r="C7" s="86">
        <v>0.043443085714580436</v>
      </c>
    </row>
    <row r="8" spans="1:3" ht="12.75">
      <c r="A8" s="37" t="s">
        <v>27</v>
      </c>
      <c r="B8" s="86">
        <v>1.2083381873571009</v>
      </c>
      <c r="C8" s="86">
        <v>0.04058428121046421</v>
      </c>
    </row>
    <row r="9" spans="1:5" ht="12.75">
      <c r="A9" s="37" t="s">
        <v>28</v>
      </c>
      <c r="B9" s="86">
        <v>1.759809664259552</v>
      </c>
      <c r="C9" s="86">
        <v>0.1925354907476328</v>
      </c>
      <c r="E9" s="11"/>
    </row>
    <row r="10" spans="1:3" ht="12.75">
      <c r="A10" s="37" t="s">
        <v>29</v>
      </c>
      <c r="B10" s="86">
        <v>1.3913860966281173</v>
      </c>
      <c r="C10" s="86">
        <v>0.05905000940150886</v>
      </c>
    </row>
    <row r="11" spans="1:3" ht="12.75">
      <c r="A11" s="37" t="s">
        <v>30</v>
      </c>
      <c r="B11" s="86">
        <v>1.4040290975738898</v>
      </c>
      <c r="C11" s="86">
        <v>0.03203976171105711</v>
      </c>
    </row>
    <row r="12" spans="1:3" ht="12.75">
      <c r="A12" s="37" t="s">
        <v>31</v>
      </c>
      <c r="B12" s="86">
        <v>1.2276276190065087</v>
      </c>
      <c r="C12" s="86">
        <v>0.05480302181408416</v>
      </c>
    </row>
    <row r="13" spans="1:3" ht="12.75">
      <c r="A13" s="37" t="s">
        <v>32</v>
      </c>
      <c r="B13" s="86">
        <v>1.666084902469317</v>
      </c>
      <c r="C13" s="86">
        <v>0.10208594771555389</v>
      </c>
    </row>
    <row r="14" spans="1:3" ht="12.75">
      <c r="A14" s="37" t="s">
        <v>33</v>
      </c>
      <c r="B14" s="86">
        <v>1.2873349801661367</v>
      </c>
      <c r="C14" s="86">
        <v>0.07514506250000001</v>
      </c>
    </row>
    <row r="15" spans="1:3" ht="12.75">
      <c r="A15" s="37" t="s">
        <v>34</v>
      </c>
      <c r="B15" s="86">
        <v>1.3099353594105345</v>
      </c>
      <c r="C15" s="86">
        <v>0.08179157190741658</v>
      </c>
    </row>
    <row r="16" spans="1:3" ht="12.75">
      <c r="A16" s="37" t="s">
        <v>35</v>
      </c>
      <c r="B16" s="86">
        <v>1.8261112972711946</v>
      </c>
      <c r="C16" s="86">
        <v>0.1338120863564895</v>
      </c>
    </row>
    <row r="17" spans="1:3" ht="12.75">
      <c r="A17" s="37" t="s">
        <v>36</v>
      </c>
      <c r="B17" s="86">
        <v>2.124484628771503</v>
      </c>
      <c r="C17" s="86">
        <v>0.11537496606019781</v>
      </c>
    </row>
    <row r="18" spans="1:3" ht="12.75">
      <c r="A18" s="37" t="s">
        <v>37</v>
      </c>
      <c r="B18" s="86">
        <v>1.7936914616624493</v>
      </c>
      <c r="C18" s="86">
        <v>0.18114295161112487</v>
      </c>
    </row>
    <row r="19" spans="1:3" ht="12.75">
      <c r="A19" s="87" t="s">
        <v>70</v>
      </c>
      <c r="B19" s="146">
        <f>SUM(B7:B18)</f>
        <v>18.27303895455838</v>
      </c>
      <c r="C19" s="146">
        <f>SUM(C7:C18)</f>
        <v>1.11180823675011</v>
      </c>
    </row>
    <row r="21" ht="14.25" customHeight="1"/>
  </sheetData>
  <sheetProtection password="CDB2" sheet="1" objects="1" scenarios="1" selectLockedCells="1" selectUnlockedCells="1"/>
  <mergeCells count="5">
    <mergeCell ref="A1:I1"/>
    <mergeCell ref="A2:I2"/>
    <mergeCell ref="A5:A6"/>
    <mergeCell ref="B5:B6"/>
    <mergeCell ref="C5:C6"/>
  </mergeCells>
  <printOptions/>
  <pageMargins left="0.75" right="0.75" top="1" bottom="1" header="0.5" footer="0.5"/>
  <pageSetup fitToHeight="1" fitToWidth="1" horizontalDpi="600" verticalDpi="600" orientation="landscape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A1" sqref="A1:IV16384"/>
    </sheetView>
  </sheetViews>
  <sheetFormatPr defaultColWidth="9.140625" defaultRowHeight="12.75"/>
  <cols>
    <col min="1" max="1" width="11.421875" style="94" customWidth="1"/>
    <col min="2" max="2" width="11.8515625" style="94" customWidth="1"/>
    <col min="3" max="3" width="14.00390625" style="94" customWidth="1"/>
    <col min="4" max="4" width="15.421875" style="94" customWidth="1"/>
    <col min="5" max="5" width="15.8515625" style="94" customWidth="1"/>
    <col min="6" max="6" width="16.8515625" style="94" customWidth="1"/>
    <col min="7" max="8" width="9.140625" style="94" customWidth="1"/>
    <col min="9" max="9" width="12.7109375" style="94" customWidth="1"/>
    <col min="10" max="11" width="9.140625" style="94" customWidth="1"/>
    <col min="12" max="12" width="15.28125" style="94" customWidth="1"/>
    <col min="13" max="13" width="16.00390625" style="94" customWidth="1"/>
    <col min="14" max="16384" width="9.140625" style="94" customWidth="1"/>
  </cols>
  <sheetData>
    <row r="1" spans="1:6" ht="12.75">
      <c r="A1" s="269"/>
      <c r="B1" s="269"/>
      <c r="C1" s="269"/>
      <c r="D1" s="269"/>
      <c r="E1" s="269"/>
      <c r="F1" s="269"/>
    </row>
    <row r="2" spans="1:6" ht="18">
      <c r="A2" s="423" t="s">
        <v>206</v>
      </c>
      <c r="B2" s="423"/>
      <c r="C2" s="423"/>
      <c r="D2" s="423"/>
      <c r="E2" s="423"/>
      <c r="F2" s="423"/>
    </row>
    <row r="3" spans="1:6" ht="13.5" thickBot="1">
      <c r="A3" s="269"/>
      <c r="B3" s="269"/>
      <c r="C3" s="269"/>
      <c r="D3" s="269"/>
      <c r="E3" s="269"/>
      <c r="F3" s="269"/>
    </row>
    <row r="4" spans="1:13" ht="25.5">
      <c r="A4" s="270" t="s">
        <v>38</v>
      </c>
      <c r="B4" s="271" t="s">
        <v>39</v>
      </c>
      <c r="C4" s="271" t="s">
        <v>40</v>
      </c>
      <c r="D4" s="271" t="s">
        <v>41</v>
      </c>
      <c r="E4" s="272" t="s">
        <v>76</v>
      </c>
      <c r="F4" s="273" t="s">
        <v>100</v>
      </c>
      <c r="H4" s="270" t="s">
        <v>38</v>
      </c>
      <c r="I4" s="271" t="s">
        <v>39</v>
      </c>
      <c r="J4" s="271" t="s">
        <v>40</v>
      </c>
      <c r="K4" s="271" t="s">
        <v>41</v>
      </c>
      <c r="L4" s="272" t="s">
        <v>76</v>
      </c>
      <c r="M4" s="273" t="s">
        <v>100</v>
      </c>
    </row>
    <row r="5" spans="1:13" ht="12.75">
      <c r="A5" s="274" t="s">
        <v>42</v>
      </c>
      <c r="B5" s="275">
        <v>6</v>
      </c>
      <c r="C5" s="276">
        <v>38.5</v>
      </c>
      <c r="D5" s="277">
        <f>'INPUT 3 - PRESS RUN HOURS'!N6</f>
        <v>1366.47</v>
      </c>
      <c r="E5" s="278">
        <f>B5*C5*D5</f>
        <v>315654.57</v>
      </c>
      <c r="F5" s="279">
        <f>E5/E8</f>
        <v>0.21753867399482615</v>
      </c>
      <c r="H5" s="274" t="s">
        <v>42</v>
      </c>
      <c r="I5" s="275">
        <v>6</v>
      </c>
      <c r="J5" s="276">
        <v>38.5</v>
      </c>
      <c r="K5" s="277">
        <f>D5</f>
        <v>1366.47</v>
      </c>
      <c r="L5" s="278">
        <f>I5*J5*K5</f>
        <v>315654.57</v>
      </c>
      <c r="M5" s="279">
        <f>L5/L7</f>
        <v>0.29487813759364934</v>
      </c>
    </row>
    <row r="6" spans="1:13" ht="13.5" thickBot="1">
      <c r="A6" s="274" t="s">
        <v>43</v>
      </c>
      <c r="B6" s="275">
        <v>6</v>
      </c>
      <c r="C6" s="280">
        <v>38</v>
      </c>
      <c r="D6" s="281">
        <f>'INPUT 3 - PRESS RUN HOURS'!N7</f>
        <v>3310.54</v>
      </c>
      <c r="E6" s="282">
        <f>B6*C6*D6</f>
        <v>754803.12</v>
      </c>
      <c r="F6" s="279">
        <f>E6/E8</f>
        <v>0.5201853084273661</v>
      </c>
      <c r="H6" s="274" t="s">
        <v>43</v>
      </c>
      <c r="I6" s="275">
        <v>6</v>
      </c>
      <c r="J6" s="280">
        <v>38</v>
      </c>
      <c r="K6" s="281">
        <f>D6</f>
        <v>3310.54</v>
      </c>
      <c r="L6" s="282">
        <f>I6*J6*K6</f>
        <v>754803.12</v>
      </c>
      <c r="M6" s="279">
        <f>L6/L7</f>
        <v>0.7051218624063508</v>
      </c>
    </row>
    <row r="7" spans="1:13" ht="13.5" thickBot="1">
      <c r="A7" s="274" t="s">
        <v>44</v>
      </c>
      <c r="B7" s="283">
        <v>6</v>
      </c>
      <c r="C7" s="276">
        <v>26.5</v>
      </c>
      <c r="D7" s="281">
        <f>'INPUT 3 - PRESS RUN HOURS'!N8</f>
        <v>2393.5200000000004</v>
      </c>
      <c r="E7" s="275">
        <f>B7*C7*D7</f>
        <v>380569.68000000005</v>
      </c>
      <c r="F7" s="279">
        <f>E7/E8</f>
        <v>0.26227601757780766</v>
      </c>
      <c r="H7" s="284" t="s">
        <v>45</v>
      </c>
      <c r="I7" s="285" t="s">
        <v>55</v>
      </c>
      <c r="J7" s="286" t="s">
        <v>55</v>
      </c>
      <c r="K7" s="287">
        <f>SUM(K4:K6)</f>
        <v>4677.01</v>
      </c>
      <c r="L7" s="288">
        <f>SUM(L4:L6)</f>
        <v>1070457.69</v>
      </c>
      <c r="M7" s="289">
        <f>SUM(M4:M6)</f>
        <v>1</v>
      </c>
    </row>
    <row r="8" spans="1:6" ht="13.5" thickBot="1">
      <c r="A8" s="284" t="s">
        <v>45</v>
      </c>
      <c r="B8" s="290" t="s">
        <v>24</v>
      </c>
      <c r="C8" s="291"/>
      <c r="D8" s="287">
        <f>SUM(D5:D7)</f>
        <v>7070.530000000001</v>
      </c>
      <c r="E8" s="288">
        <f>SUM(E5:E7)</f>
        <v>1451027.37</v>
      </c>
      <c r="F8" s="289">
        <f>SUM(F5:F7)</f>
        <v>1</v>
      </c>
    </row>
    <row r="9" spans="1:6" ht="12.75">
      <c r="A9" s="269"/>
      <c r="B9" s="269"/>
      <c r="C9" s="269"/>
      <c r="D9" s="269"/>
      <c r="E9" s="269"/>
      <c r="F9" s="269"/>
    </row>
    <row r="10" spans="1:6" ht="12.75">
      <c r="A10" s="269"/>
      <c r="B10" s="269"/>
      <c r="C10" s="269"/>
      <c r="D10" s="269"/>
      <c r="E10" s="269"/>
      <c r="F10" s="269"/>
    </row>
    <row r="11" spans="1:6" ht="12.75">
      <c r="A11" s="269" t="s">
        <v>80</v>
      </c>
      <c r="B11" s="292">
        <f>E5/E8</f>
        <v>0.21753867399482615</v>
      </c>
      <c r="C11" s="269"/>
      <c r="D11" s="269"/>
      <c r="E11" s="269"/>
      <c r="F11" s="269"/>
    </row>
    <row r="12" spans="1:6" ht="12.75">
      <c r="A12" s="269" t="s">
        <v>81</v>
      </c>
      <c r="B12" s="292">
        <f>E6/E8</f>
        <v>0.5201853084273661</v>
      </c>
      <c r="C12" s="269"/>
      <c r="D12" s="269"/>
      <c r="E12" s="269"/>
      <c r="F12" s="269"/>
    </row>
    <row r="13" spans="1:6" ht="12.75">
      <c r="A13" s="269" t="s">
        <v>82</v>
      </c>
      <c r="B13" s="292">
        <f>E7/E8</f>
        <v>0.26227601757780766</v>
      </c>
      <c r="C13" s="292">
        <f>B11+B12+B13</f>
        <v>1</v>
      </c>
      <c r="D13" s="269"/>
      <c r="E13" s="269"/>
      <c r="F13" s="269"/>
    </row>
    <row r="14" spans="1:6" ht="12.75">
      <c r="A14" s="269" t="s">
        <v>83</v>
      </c>
      <c r="B14" s="292" t="e">
        <f>#REF!/E8</f>
        <v>#REF!</v>
      </c>
      <c r="C14" s="269"/>
      <c r="D14" s="269"/>
      <c r="E14" s="269"/>
      <c r="F14" s="269"/>
    </row>
    <row r="15" spans="1:6" ht="12.75">
      <c r="A15" s="269"/>
      <c r="B15" s="292" t="e">
        <f>SUM(B11:B14)</f>
        <v>#REF!</v>
      </c>
      <c r="C15" s="269"/>
      <c r="D15" s="269"/>
      <c r="E15" s="269"/>
      <c r="F15" s="269"/>
    </row>
  </sheetData>
  <sheetProtection password="CDB2" sheet="1" objects="1" scenarios="1" selectLockedCells="1" selectUnlockedCells="1"/>
  <mergeCells count="1">
    <mergeCell ref="A2:F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12"/>
  <sheetViews>
    <sheetView workbookViewId="0" topLeftCell="A1">
      <selection activeCell="A1" sqref="A1:IV16384"/>
    </sheetView>
  </sheetViews>
  <sheetFormatPr defaultColWidth="9.140625" defaultRowHeight="12.75"/>
  <cols>
    <col min="1" max="1" width="22.140625" style="94" bestFit="1" customWidth="1"/>
    <col min="2" max="2" width="10.28125" style="94" bestFit="1" customWidth="1"/>
    <col min="3" max="16384" width="9.140625" style="94" customWidth="1"/>
  </cols>
  <sheetData>
    <row r="1" ht="12.75"/>
    <row r="2" spans="2:4" ht="12.75">
      <c r="B2" s="424" t="s">
        <v>98</v>
      </c>
      <c r="C2" s="424"/>
      <c r="D2" s="424"/>
    </row>
    <row r="3" spans="2:4" ht="12.75">
      <c r="B3" s="294" t="s">
        <v>95</v>
      </c>
      <c r="C3" s="294" t="s">
        <v>96</v>
      </c>
      <c r="D3" s="294" t="s">
        <v>97</v>
      </c>
    </row>
    <row r="4" ht="12.75"/>
    <row r="5" spans="1:4" ht="12.75">
      <c r="A5" s="94" t="s">
        <v>93</v>
      </c>
      <c r="B5" s="294">
        <f>30+(0.1*70)</f>
        <v>37</v>
      </c>
      <c r="C5" s="295">
        <f>(30+(0.08*70))</f>
        <v>35.6</v>
      </c>
      <c r="D5" s="295">
        <f>C5</f>
        <v>35.6</v>
      </c>
    </row>
    <row r="6" spans="2:4" ht="12.75">
      <c r="B6" s="294"/>
      <c r="C6" s="294"/>
      <c r="D6" s="294"/>
    </row>
    <row r="7" spans="1:4" ht="12.75">
      <c r="A7" s="94" t="s">
        <v>94</v>
      </c>
      <c r="B7" s="294">
        <f>60+(0.1*40)</f>
        <v>64</v>
      </c>
      <c r="C7" s="295">
        <f>60+(0.08*40)</f>
        <v>63.2</v>
      </c>
      <c r="D7" s="295" t="s">
        <v>241</v>
      </c>
    </row>
    <row r="8" ht="12.75"/>
    <row r="9" ht="12.75"/>
    <row r="10" ht="12.75">
      <c r="B10" s="94" t="s">
        <v>242</v>
      </c>
    </row>
    <row r="11" spans="1:2" ht="12.75">
      <c r="A11" s="94" t="s">
        <v>137</v>
      </c>
      <c r="B11" s="296">
        <v>0.5</v>
      </c>
    </row>
    <row r="12" spans="1:2" ht="12.75">
      <c r="A12" s="94" t="s">
        <v>78</v>
      </c>
      <c r="B12" s="296">
        <v>1</v>
      </c>
    </row>
  </sheetData>
  <sheetProtection password="CDB2" sheet="1" objects="1" scenarios="1" selectLockedCells="1" selectUnlockedCells="1"/>
  <mergeCells count="1">
    <mergeCell ref="B2:D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="80" zoomScaleNormal="80" workbookViewId="0" topLeftCell="A1">
      <selection activeCell="I22" sqref="I22"/>
    </sheetView>
  </sheetViews>
  <sheetFormatPr defaultColWidth="9.140625" defaultRowHeight="12.75"/>
  <cols>
    <col min="1" max="1" width="39.421875" style="127" bestFit="1" customWidth="1"/>
    <col min="2" max="2" width="11.00390625" style="127" customWidth="1"/>
    <col min="3" max="3" width="9.140625" style="127" customWidth="1"/>
    <col min="4" max="4" width="12.00390625" style="127" customWidth="1"/>
    <col min="5" max="5" width="11.57421875" style="127" customWidth="1"/>
    <col min="6" max="6" width="11.140625" style="127" customWidth="1"/>
    <col min="7" max="7" width="11.421875" style="127" customWidth="1"/>
    <col min="8" max="8" width="14.28125" style="127" customWidth="1"/>
    <col min="9" max="16384" width="9.140625" style="127" customWidth="1"/>
  </cols>
  <sheetData>
    <row r="1" spans="1:14" s="96" customFormat="1" ht="12.75">
      <c r="A1" s="299" t="s">
        <v>53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</row>
    <row r="2" spans="1:14" s="96" customFormat="1" ht="12.75">
      <c r="A2" s="299" t="s">
        <v>54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</row>
    <row r="3" spans="1:14" s="96" customFormat="1" ht="12.75">
      <c r="A3" s="300" t="s">
        <v>232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</row>
    <row r="4" spans="1:8" s="96" customFormat="1" ht="12.75">
      <c r="A4" s="150"/>
      <c r="B4" s="151"/>
      <c r="C4" s="151"/>
      <c r="D4" s="151"/>
      <c r="E4" s="151"/>
      <c r="F4" s="151"/>
      <c r="G4" s="151"/>
      <c r="H4" s="151"/>
    </row>
    <row r="5" s="96" customFormat="1" ht="12.75"/>
    <row r="6" spans="1:14" s="96" customFormat="1" ht="12.75">
      <c r="A6" s="103"/>
      <c r="B6" s="103" t="s">
        <v>77</v>
      </c>
      <c r="C6" s="103" t="s">
        <v>27</v>
      </c>
      <c r="D6" s="103" t="s">
        <v>28</v>
      </c>
      <c r="E6" s="103" t="s">
        <v>29</v>
      </c>
      <c r="F6" s="103" t="s">
        <v>30</v>
      </c>
      <c r="G6" s="103" t="s">
        <v>31</v>
      </c>
      <c r="H6" s="103" t="s">
        <v>32</v>
      </c>
      <c r="I6" s="103" t="s">
        <v>33</v>
      </c>
      <c r="J6" s="103" t="s">
        <v>34</v>
      </c>
      <c r="K6" s="103" t="s">
        <v>35</v>
      </c>
      <c r="L6" s="103" t="s">
        <v>36</v>
      </c>
      <c r="M6" s="103" t="s">
        <v>37</v>
      </c>
      <c r="N6" s="103" t="s">
        <v>22</v>
      </c>
    </row>
    <row r="7" spans="1:14" s="96" customFormat="1" ht="12.75">
      <c r="A7" s="103"/>
      <c r="B7" s="103" t="s">
        <v>142</v>
      </c>
      <c r="C7" s="103" t="s">
        <v>142</v>
      </c>
      <c r="D7" s="103" t="s">
        <v>142</v>
      </c>
      <c r="E7" s="103" t="s">
        <v>142</v>
      </c>
      <c r="F7" s="103" t="s">
        <v>142</v>
      </c>
      <c r="G7" s="103" t="s">
        <v>142</v>
      </c>
      <c r="H7" s="103" t="s">
        <v>142</v>
      </c>
      <c r="I7" s="103" t="s">
        <v>142</v>
      </c>
      <c r="J7" s="103" t="s">
        <v>142</v>
      </c>
      <c r="K7" s="103" t="s">
        <v>142</v>
      </c>
      <c r="L7" s="103" t="s">
        <v>142</v>
      </c>
      <c r="M7" s="103" t="s">
        <v>142</v>
      </c>
      <c r="N7" s="103" t="s">
        <v>142</v>
      </c>
    </row>
    <row r="8" spans="1:14" ht="12.75">
      <c r="A8" s="103" t="s">
        <v>133</v>
      </c>
      <c r="B8" s="143">
        <v>220</v>
      </c>
      <c r="C8" s="143">
        <v>330</v>
      </c>
      <c r="D8" s="143">
        <v>440</v>
      </c>
      <c r="E8" s="143">
        <v>330</v>
      </c>
      <c r="F8" s="132">
        <v>110</v>
      </c>
      <c r="G8" s="132">
        <v>330</v>
      </c>
      <c r="H8" s="132">
        <v>165</v>
      </c>
      <c r="I8" s="132"/>
      <c r="J8" s="132"/>
      <c r="K8" s="132"/>
      <c r="L8" s="132"/>
      <c r="M8" s="132"/>
      <c r="N8" s="249">
        <f>SUM(B8:M8)</f>
        <v>1925</v>
      </c>
    </row>
    <row r="9" spans="1:14" ht="12.75">
      <c r="A9" s="103" t="s">
        <v>78</v>
      </c>
      <c r="B9" s="143">
        <v>0</v>
      </c>
      <c r="C9" s="143">
        <v>0</v>
      </c>
      <c r="D9" s="143">
        <v>55</v>
      </c>
      <c r="E9" s="143">
        <v>0</v>
      </c>
      <c r="F9" s="132">
        <v>30</v>
      </c>
      <c r="G9" s="132">
        <v>25</v>
      </c>
      <c r="H9" s="132">
        <v>25</v>
      </c>
      <c r="I9" s="132"/>
      <c r="J9" s="132"/>
      <c r="K9" s="132"/>
      <c r="L9" s="132"/>
      <c r="M9" s="132"/>
      <c r="N9" s="249">
        <f>SUM(B9:M9)</f>
        <v>135</v>
      </c>
    </row>
    <row r="10" spans="1:14" ht="12.75">
      <c r="A10" s="103" t="s">
        <v>79</v>
      </c>
      <c r="B10" s="143">
        <v>330</v>
      </c>
      <c r="C10" s="143">
        <v>110</v>
      </c>
      <c r="D10" s="143">
        <v>440</v>
      </c>
      <c r="E10" s="143">
        <v>440</v>
      </c>
      <c r="F10" s="132">
        <v>275</v>
      </c>
      <c r="G10" s="132">
        <v>385</v>
      </c>
      <c r="H10" s="132">
        <v>385</v>
      </c>
      <c r="I10" s="132"/>
      <c r="J10" s="132"/>
      <c r="K10" s="132"/>
      <c r="L10" s="132"/>
      <c r="M10" s="132"/>
      <c r="N10" s="249">
        <f>SUM(B10:M10)</f>
        <v>2365</v>
      </c>
    </row>
    <row r="11" spans="1:14" ht="12.75">
      <c r="A11" s="103" t="s">
        <v>220</v>
      </c>
      <c r="B11" s="143">
        <v>55</v>
      </c>
      <c r="C11" s="143">
        <v>0</v>
      </c>
      <c r="D11" s="143">
        <v>55</v>
      </c>
      <c r="E11" s="143">
        <v>0</v>
      </c>
      <c r="F11" s="143">
        <v>0</v>
      </c>
      <c r="G11" s="143">
        <v>0</v>
      </c>
      <c r="H11" s="143">
        <v>0</v>
      </c>
      <c r="I11" s="143">
        <v>0</v>
      </c>
      <c r="J11" s="143"/>
      <c r="K11" s="143"/>
      <c r="L11" s="143"/>
      <c r="M11" s="143"/>
      <c r="N11" s="249">
        <f>SUM(B11:M11)</f>
        <v>110</v>
      </c>
    </row>
    <row r="12" spans="1:14" s="162" customFormat="1" ht="12.75">
      <c r="A12" s="167"/>
      <c r="B12" s="167"/>
      <c r="C12" s="167"/>
      <c r="D12" s="167"/>
      <c r="E12" s="167"/>
      <c r="F12" s="250"/>
      <c r="G12" s="250"/>
      <c r="H12" s="250"/>
      <c r="I12" s="250"/>
      <c r="J12" s="250"/>
      <c r="K12" s="250"/>
      <c r="L12" s="250"/>
      <c r="M12" s="250"/>
      <c r="N12" s="167"/>
    </row>
    <row r="13" spans="1:14" s="162" customFormat="1" ht="12.75">
      <c r="A13" s="231"/>
      <c r="B13" s="231" t="s">
        <v>26</v>
      </c>
      <c r="C13" s="231" t="s">
        <v>27</v>
      </c>
      <c r="D13" s="231" t="s">
        <v>28</v>
      </c>
      <c r="E13" s="231" t="s">
        <v>29</v>
      </c>
      <c r="F13" s="231" t="s">
        <v>30</v>
      </c>
      <c r="G13" s="231" t="s">
        <v>31</v>
      </c>
      <c r="H13" s="231" t="s">
        <v>32</v>
      </c>
      <c r="I13" s="231" t="s">
        <v>33</v>
      </c>
      <c r="J13" s="231" t="s">
        <v>34</v>
      </c>
      <c r="K13" s="231" t="s">
        <v>35</v>
      </c>
      <c r="L13" s="231" t="s">
        <v>36</v>
      </c>
      <c r="M13" s="231" t="s">
        <v>37</v>
      </c>
      <c r="N13" s="231" t="s">
        <v>22</v>
      </c>
    </row>
    <row r="14" spans="1:14" s="162" customFormat="1" ht="12.75">
      <c r="A14" s="231"/>
      <c r="B14" s="231" t="s">
        <v>221</v>
      </c>
      <c r="C14" s="231" t="s">
        <v>221</v>
      </c>
      <c r="D14" s="231" t="s">
        <v>221</v>
      </c>
      <c r="E14" s="231" t="s">
        <v>221</v>
      </c>
      <c r="F14" s="231" t="s">
        <v>221</v>
      </c>
      <c r="G14" s="231" t="s">
        <v>221</v>
      </c>
      <c r="H14" s="231" t="s">
        <v>221</v>
      </c>
      <c r="I14" s="231" t="s">
        <v>221</v>
      </c>
      <c r="J14" s="231" t="s">
        <v>221</v>
      </c>
      <c r="K14" s="231" t="s">
        <v>221</v>
      </c>
      <c r="L14" s="231" t="s">
        <v>221</v>
      </c>
      <c r="M14" s="231" t="s">
        <v>221</v>
      </c>
      <c r="N14" s="231" t="s">
        <v>222</v>
      </c>
    </row>
    <row r="15" spans="1:14" ht="12.75">
      <c r="A15" s="103" t="s">
        <v>219</v>
      </c>
      <c r="B15" s="143">
        <v>800</v>
      </c>
      <c r="C15" s="143">
        <v>700</v>
      </c>
      <c r="D15" s="143">
        <v>1100</v>
      </c>
      <c r="E15" s="143">
        <v>1100</v>
      </c>
      <c r="F15" s="132">
        <v>1200</v>
      </c>
      <c r="G15" s="132">
        <v>500</v>
      </c>
      <c r="H15" s="132">
        <v>500</v>
      </c>
      <c r="I15" s="132"/>
      <c r="J15" s="132"/>
      <c r="K15" s="132"/>
      <c r="L15" s="132"/>
      <c r="M15" s="132"/>
      <c r="N15" s="249">
        <f>SUM(B15:M15)</f>
        <v>5900</v>
      </c>
    </row>
    <row r="16" s="230" customFormat="1" ht="12.75"/>
    <row r="17" spans="1:14" s="96" customFormat="1" ht="18.75" customHeight="1">
      <c r="A17" s="301" t="s">
        <v>233</v>
      </c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</row>
    <row r="24" ht="12.75">
      <c r="H24" s="127" t="s">
        <v>24</v>
      </c>
    </row>
    <row r="36" ht="12.75">
      <c r="A36" s="128"/>
    </row>
  </sheetData>
  <sheetProtection password="CDB2" sheet="1" objects="1" scenarios="1"/>
  <mergeCells count="4">
    <mergeCell ref="A1:N1"/>
    <mergeCell ref="A2:N2"/>
    <mergeCell ref="A3:N3"/>
    <mergeCell ref="A17:N17"/>
  </mergeCells>
  <printOptions/>
  <pageMargins left="0.75" right="0.75" top="1" bottom="1" header="0.5" footer="0.5"/>
  <pageSetup fitToHeight="1" fitToWidth="1"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8"/>
  <sheetViews>
    <sheetView zoomScaleSheetLayoutView="80" workbookViewId="0" topLeftCell="A1">
      <selection activeCell="G22" sqref="G22"/>
    </sheetView>
  </sheetViews>
  <sheetFormatPr defaultColWidth="9.140625" defaultRowHeight="12.75"/>
  <cols>
    <col min="1" max="1" width="9.140625" style="127" customWidth="1"/>
    <col min="2" max="2" width="28.57421875" style="127" customWidth="1"/>
    <col min="3" max="3" width="21.57421875" style="252" customWidth="1"/>
    <col min="4" max="4" width="11.00390625" style="127" bestFit="1" customWidth="1"/>
    <col min="5" max="5" width="11.57421875" style="127" customWidth="1"/>
    <col min="6" max="7" width="12.57421875" style="127" customWidth="1"/>
    <col min="8" max="8" width="9.140625" style="251" customWidth="1"/>
    <col min="9" max="9" width="10.00390625" style="127" customWidth="1"/>
    <col min="10" max="16384" width="9.140625" style="127" customWidth="1"/>
  </cols>
  <sheetData>
    <row r="1" spans="1:8" s="96" customFormat="1" ht="12.75">
      <c r="A1" s="299" t="s">
        <v>53</v>
      </c>
      <c r="B1" s="299"/>
      <c r="C1" s="299"/>
      <c r="D1" s="299"/>
      <c r="E1" s="299"/>
      <c r="F1" s="299"/>
      <c r="H1" s="131"/>
    </row>
    <row r="2" spans="1:8" s="96" customFormat="1" ht="12.75">
      <c r="A2" s="299" t="s">
        <v>54</v>
      </c>
      <c r="B2" s="299"/>
      <c r="C2" s="299"/>
      <c r="D2" s="299"/>
      <c r="E2" s="299"/>
      <c r="F2" s="299"/>
      <c r="H2" s="131"/>
    </row>
    <row r="3" spans="1:8" s="96" customFormat="1" ht="12.75">
      <c r="A3" s="147"/>
      <c r="B3" s="147"/>
      <c r="C3" s="147"/>
      <c r="D3" s="147"/>
      <c r="E3" s="147"/>
      <c r="F3" s="147"/>
      <c r="H3" s="131"/>
    </row>
    <row r="4" spans="1:8" s="96" customFormat="1" ht="12.75">
      <c r="A4" s="313" t="s">
        <v>234</v>
      </c>
      <c r="B4" s="313"/>
      <c r="C4" s="313"/>
      <c r="D4" s="313"/>
      <c r="E4" s="313"/>
      <c r="F4" s="313"/>
      <c r="H4" s="131"/>
    </row>
    <row r="5" spans="1:8" s="96" customFormat="1" ht="12.75">
      <c r="A5" s="145"/>
      <c r="B5" s="145"/>
      <c r="C5" s="149"/>
      <c r="D5" s="145"/>
      <c r="E5" s="145"/>
      <c r="F5" s="145"/>
      <c r="H5" s="131"/>
    </row>
    <row r="6" spans="1:8" s="96" customFormat="1" ht="18">
      <c r="A6" s="302" t="s">
        <v>205</v>
      </c>
      <c r="B6" s="302"/>
      <c r="C6" s="302"/>
      <c r="D6" s="302"/>
      <c r="E6" s="302"/>
      <c r="F6" s="302"/>
      <c r="H6" s="131"/>
    </row>
    <row r="7" spans="3:8" s="96" customFormat="1" ht="12.75">
      <c r="C7" s="123"/>
      <c r="H7" s="131"/>
    </row>
    <row r="8" spans="1:8" s="96" customFormat="1" ht="38.25" customHeight="1">
      <c r="A8" s="97" t="s">
        <v>25</v>
      </c>
      <c r="B8" s="98" t="s">
        <v>18</v>
      </c>
      <c r="C8" s="99" t="s">
        <v>59</v>
      </c>
      <c r="D8" s="100" t="s">
        <v>71</v>
      </c>
      <c r="E8" s="101" t="s">
        <v>72</v>
      </c>
      <c r="H8" s="131"/>
    </row>
    <row r="9" spans="1:5" ht="12.75">
      <c r="A9" s="102" t="s">
        <v>26</v>
      </c>
      <c r="B9" s="103" t="s">
        <v>75</v>
      </c>
      <c r="C9" s="140">
        <v>29510</v>
      </c>
      <c r="D9" s="140">
        <v>10679.81</v>
      </c>
      <c r="E9" s="104">
        <f>D9/2000</f>
        <v>5.339905</v>
      </c>
    </row>
    <row r="10" spans="1:5" ht="12.75">
      <c r="A10" s="102"/>
      <c r="B10" s="103"/>
      <c r="C10" s="142"/>
      <c r="D10" s="142"/>
      <c r="E10" s="105"/>
    </row>
    <row r="11" spans="1:5" ht="12.75">
      <c r="A11" s="102" t="s">
        <v>27</v>
      </c>
      <c r="B11" s="103" t="s">
        <v>75</v>
      </c>
      <c r="C11" s="140">
        <v>28127</v>
      </c>
      <c r="D11" s="140">
        <v>10590.66</v>
      </c>
      <c r="E11" s="104">
        <f>D11/2000</f>
        <v>5.29533</v>
      </c>
    </row>
    <row r="12" spans="1:5" ht="12.75">
      <c r="A12" s="102"/>
      <c r="B12" s="103"/>
      <c r="C12" s="142"/>
      <c r="D12" s="142"/>
      <c r="E12" s="105"/>
    </row>
    <row r="13" spans="1:5" ht="12.75">
      <c r="A13" s="102" t="s">
        <v>28</v>
      </c>
      <c r="B13" s="103" t="s">
        <v>75</v>
      </c>
      <c r="C13" s="140">
        <v>40129.5</v>
      </c>
      <c r="D13" s="140">
        <v>14834.15</v>
      </c>
      <c r="E13" s="104">
        <f>D13/2000</f>
        <v>7.417075</v>
      </c>
    </row>
    <row r="14" spans="1:5" ht="12.75">
      <c r="A14" s="102"/>
      <c r="B14" s="103"/>
      <c r="C14" s="142"/>
      <c r="D14" s="142"/>
      <c r="E14" s="105"/>
    </row>
    <row r="15" spans="1:5" ht="12.75">
      <c r="A15" s="102" t="s">
        <v>29</v>
      </c>
      <c r="B15" s="103" t="s">
        <v>75</v>
      </c>
      <c r="C15" s="140">
        <v>39773</v>
      </c>
      <c r="D15" s="140">
        <v>14590.99</v>
      </c>
      <c r="E15" s="104">
        <f>D15/2000</f>
        <v>7.295495</v>
      </c>
    </row>
    <row r="16" spans="1:5" ht="12.75">
      <c r="A16" s="102"/>
      <c r="B16" s="103"/>
      <c r="C16" s="142"/>
      <c r="D16" s="142"/>
      <c r="E16" s="105"/>
    </row>
    <row r="17" spans="1:5" ht="12.75">
      <c r="A17" s="102" t="s">
        <v>30</v>
      </c>
      <c r="B17" s="103" t="s">
        <v>75</v>
      </c>
      <c r="C17" s="140">
        <v>24857.15</v>
      </c>
      <c r="D17" s="140">
        <v>8682.11</v>
      </c>
      <c r="E17" s="148">
        <f>D17/2000</f>
        <v>4.341055</v>
      </c>
    </row>
    <row r="18" spans="1:5" ht="12.75">
      <c r="A18" s="102"/>
      <c r="B18" s="103"/>
      <c r="C18" s="141"/>
      <c r="D18" s="129"/>
      <c r="E18" s="106"/>
    </row>
    <row r="19" spans="1:5" ht="12.75">
      <c r="A19" s="102" t="s">
        <v>90</v>
      </c>
      <c r="B19" s="103" t="s">
        <v>75</v>
      </c>
      <c r="C19" s="140">
        <v>25916</v>
      </c>
      <c r="D19" s="140">
        <v>9660.3</v>
      </c>
      <c r="E19" s="148">
        <f>D19/2000</f>
        <v>4.83015</v>
      </c>
    </row>
    <row r="20" spans="1:5" ht="12.75">
      <c r="A20" s="102"/>
      <c r="B20" s="103"/>
      <c r="C20" s="141"/>
      <c r="D20" s="129"/>
      <c r="E20" s="106"/>
    </row>
    <row r="21" spans="1:5" ht="12.75">
      <c r="A21" s="102" t="s">
        <v>91</v>
      </c>
      <c r="B21" s="103" t="s">
        <v>75</v>
      </c>
      <c r="C21" s="140">
        <v>24097</v>
      </c>
      <c r="D21" s="140">
        <v>8724.19</v>
      </c>
      <c r="E21" s="148">
        <f>D21/2000</f>
        <v>4.362095</v>
      </c>
    </row>
    <row r="22" spans="1:5" ht="12.75">
      <c r="A22" s="102"/>
      <c r="B22" s="103"/>
      <c r="C22" s="141"/>
      <c r="D22" s="129"/>
      <c r="E22" s="106"/>
    </row>
    <row r="23" spans="1:5" ht="12.75">
      <c r="A23" s="102" t="s">
        <v>99</v>
      </c>
      <c r="B23" s="103" t="s">
        <v>75</v>
      </c>
      <c r="C23" s="140"/>
      <c r="D23" s="140"/>
      <c r="E23" s="148">
        <f>D23/2000</f>
        <v>0</v>
      </c>
    </row>
    <row r="24" spans="1:5" ht="12.75">
      <c r="A24" s="102"/>
      <c r="B24" s="103"/>
      <c r="C24" s="126"/>
      <c r="D24" s="126"/>
      <c r="E24" s="148"/>
    </row>
    <row r="25" spans="1:5" ht="12.75">
      <c r="A25" s="102" t="s">
        <v>34</v>
      </c>
      <c r="B25" s="103" t="s">
        <v>75</v>
      </c>
      <c r="C25" s="140"/>
      <c r="D25" s="140"/>
      <c r="E25" s="148">
        <f>D25/2000</f>
        <v>0</v>
      </c>
    </row>
    <row r="26" spans="1:5" ht="12.75">
      <c r="A26" s="102"/>
      <c r="B26" s="103"/>
      <c r="C26" s="126"/>
      <c r="D26" s="126"/>
      <c r="E26" s="148"/>
    </row>
    <row r="27" spans="1:5" ht="12.75">
      <c r="A27" s="102" t="s">
        <v>35</v>
      </c>
      <c r="B27" s="103" t="s">
        <v>75</v>
      </c>
      <c r="C27" s="140"/>
      <c r="D27" s="140"/>
      <c r="E27" s="148">
        <f>D27/2000</f>
        <v>0</v>
      </c>
    </row>
    <row r="28" spans="1:5" ht="12.75">
      <c r="A28" s="102"/>
      <c r="B28" s="103"/>
      <c r="C28" s="126"/>
      <c r="D28" s="126"/>
      <c r="E28" s="148"/>
    </row>
    <row r="29" spans="1:5" ht="12.75">
      <c r="A29" s="102" t="s">
        <v>36</v>
      </c>
      <c r="B29" s="103" t="s">
        <v>75</v>
      </c>
      <c r="C29" s="140"/>
      <c r="D29" s="140"/>
      <c r="E29" s="148">
        <f>D29/2000</f>
        <v>0</v>
      </c>
    </row>
    <row r="30" spans="1:5" ht="12.75">
      <c r="A30" s="102"/>
      <c r="B30" s="103"/>
      <c r="C30" s="126"/>
      <c r="D30" s="126"/>
      <c r="E30" s="148"/>
    </row>
    <row r="31" spans="1:7" ht="12.75">
      <c r="A31" s="102" t="s">
        <v>37</v>
      </c>
      <c r="B31" s="103" t="s">
        <v>75</v>
      </c>
      <c r="C31" s="140"/>
      <c r="D31" s="140"/>
      <c r="E31" s="148">
        <f>D31/2000</f>
        <v>0</v>
      </c>
      <c r="G31" s="252">
        <f>C32+'INPUT 4 - SHEETFED USAGE &amp; EMIS'!N20</f>
        <v>220899.15</v>
      </c>
    </row>
    <row r="32" spans="3:4" ht="12.75">
      <c r="C32" s="253">
        <f>SUM(C9:C31)</f>
        <v>212409.65</v>
      </c>
      <c r="D32" s="252"/>
    </row>
    <row r="33" ht="12.75">
      <c r="D33" s="252">
        <f>SUM(D9:D32)</f>
        <v>77762.21</v>
      </c>
    </row>
    <row r="34" spans="1:8" s="96" customFormat="1" ht="18">
      <c r="A34" s="302" t="s">
        <v>186</v>
      </c>
      <c r="B34" s="302"/>
      <c r="C34" s="302"/>
      <c r="D34" s="302"/>
      <c r="E34" s="302"/>
      <c r="F34" s="302"/>
      <c r="G34" s="302"/>
      <c r="H34" s="302"/>
    </row>
    <row r="35" spans="3:8" s="96" customFormat="1" ht="12.75">
      <c r="C35" s="123"/>
      <c r="H35" s="131"/>
    </row>
    <row r="36" spans="1:8" s="96" customFormat="1" ht="38.25">
      <c r="A36" s="97" t="s">
        <v>25</v>
      </c>
      <c r="B36" s="98" t="s">
        <v>18</v>
      </c>
      <c r="C36" s="99" t="s">
        <v>59</v>
      </c>
      <c r="D36" s="107" t="s">
        <v>46</v>
      </c>
      <c r="E36" s="108" t="s">
        <v>47</v>
      </c>
      <c r="F36" s="100" t="s">
        <v>48</v>
      </c>
      <c r="G36" s="101" t="s">
        <v>49</v>
      </c>
      <c r="H36" s="109" t="s">
        <v>50</v>
      </c>
    </row>
    <row r="37" spans="1:9" s="96" customFormat="1" ht="12.75">
      <c r="A37" s="102" t="s">
        <v>26</v>
      </c>
      <c r="B37" s="103" t="s">
        <v>75</v>
      </c>
      <c r="C37" s="104">
        <f>C9*'% PRODUCTION'!F5</f>
        <v>6419.56626958732</v>
      </c>
      <c r="D37" s="104">
        <f>D9*'% PRODUCTION'!F5</f>
        <v>2323.2717059166844</v>
      </c>
      <c r="E37" s="110">
        <v>0.8</v>
      </c>
      <c r="F37" s="110">
        <v>0.9</v>
      </c>
      <c r="G37" s="104">
        <f>D37*E37*(1-F37)</f>
        <v>185.86173647333473</v>
      </c>
      <c r="H37" s="111">
        <f>G37/2000</f>
        <v>0.09293086823666737</v>
      </c>
      <c r="I37" s="114"/>
    </row>
    <row r="38" spans="1:8" s="96" customFormat="1" ht="12.75">
      <c r="A38" s="102"/>
      <c r="B38" s="103"/>
      <c r="C38" s="105"/>
      <c r="D38" s="105"/>
      <c r="E38" s="110"/>
      <c r="F38" s="110"/>
      <c r="G38" s="105"/>
      <c r="H38" s="112"/>
    </row>
    <row r="39" spans="1:8" s="96" customFormat="1" ht="12.75">
      <c r="A39" s="102" t="s">
        <v>27</v>
      </c>
      <c r="B39" s="103" t="s">
        <v>75</v>
      </c>
      <c r="C39" s="104">
        <f>C11*'% PRODUCTION'!F5</f>
        <v>6118.710283452475</v>
      </c>
      <c r="D39" s="104">
        <f>D11*'% PRODUCTION'!F5</f>
        <v>2303.8781331300456</v>
      </c>
      <c r="E39" s="110">
        <v>0.8</v>
      </c>
      <c r="F39" s="110">
        <v>0.9</v>
      </c>
      <c r="G39" s="104">
        <f>D39*E39*(1-F39)</f>
        <v>184.31025065040362</v>
      </c>
      <c r="H39" s="111">
        <f>G39/2000</f>
        <v>0.09215512532520181</v>
      </c>
    </row>
    <row r="40" spans="1:8" s="96" customFormat="1" ht="12.75">
      <c r="A40" s="102"/>
      <c r="B40" s="103"/>
      <c r="C40" s="105"/>
      <c r="D40" s="105"/>
      <c r="E40" s="110"/>
      <c r="F40" s="110"/>
      <c r="G40" s="105"/>
      <c r="H40" s="112"/>
    </row>
    <row r="41" spans="1:8" s="96" customFormat="1" ht="12.75">
      <c r="A41" s="102" t="s">
        <v>28</v>
      </c>
      <c r="B41" s="103" t="s">
        <v>75</v>
      </c>
      <c r="C41" s="104">
        <f>C13*'% PRODUCTION'!F5</f>
        <v>8729.718218075375</v>
      </c>
      <c r="D41" s="104">
        <f>D13*'% PRODUCTION'!F5</f>
        <v>3227.00132084035</v>
      </c>
      <c r="E41" s="110">
        <v>0.8</v>
      </c>
      <c r="F41" s="110">
        <v>0.9</v>
      </c>
      <c r="G41" s="104">
        <f>D41*E41*(1-F41)</f>
        <v>258.160105667228</v>
      </c>
      <c r="H41" s="111">
        <f>G41/2000</f>
        <v>0.12908005283361398</v>
      </c>
    </row>
    <row r="42" spans="1:8" s="96" customFormat="1" ht="12.75">
      <c r="A42" s="102"/>
      <c r="B42" s="103"/>
      <c r="C42" s="105"/>
      <c r="D42" s="105"/>
      <c r="E42" s="110"/>
      <c r="F42" s="110"/>
      <c r="G42" s="105"/>
      <c r="H42" s="112"/>
    </row>
    <row r="43" spans="1:8" s="96" customFormat="1" ht="12.75">
      <c r="A43" s="113" t="s">
        <v>29</v>
      </c>
      <c r="B43" s="103" t="s">
        <v>75</v>
      </c>
      <c r="C43" s="104">
        <f>C15*'% PRODUCTION'!F5</f>
        <v>8652.16568079622</v>
      </c>
      <c r="D43" s="104">
        <f>D15*'% PRODUCTION'!F5</f>
        <v>3174.1046168717685</v>
      </c>
      <c r="E43" s="110">
        <v>0.8</v>
      </c>
      <c r="F43" s="110">
        <v>0.9</v>
      </c>
      <c r="G43" s="104">
        <f>D43*E43*(1-F43)</f>
        <v>253.92836934974142</v>
      </c>
      <c r="H43" s="111">
        <f>G43/2000</f>
        <v>0.1269641846748707</v>
      </c>
    </row>
    <row r="44" spans="1:8" s="96" customFormat="1" ht="12.75">
      <c r="A44" s="102"/>
      <c r="B44" s="103"/>
      <c r="C44" s="104"/>
      <c r="D44" s="104"/>
      <c r="E44" s="110"/>
      <c r="F44" s="110"/>
      <c r="G44" s="104"/>
      <c r="H44" s="111"/>
    </row>
    <row r="45" spans="1:8" s="96" customFormat="1" ht="12.75">
      <c r="A45" s="102" t="s">
        <v>30</v>
      </c>
      <c r="B45" s="103" t="s">
        <v>75</v>
      </c>
      <c r="C45" s="104">
        <f>C21*'% PRODUCTION'!F5</f>
        <v>5242.029427253326</v>
      </c>
      <c r="D45" s="104">
        <f>D17*'% PRODUCTION'!F5</f>
        <v>1888.6946968772202</v>
      </c>
      <c r="E45" s="110">
        <v>0.8</v>
      </c>
      <c r="F45" s="110">
        <v>0.9</v>
      </c>
      <c r="G45" s="104">
        <f>D45*E45*(1-F45)</f>
        <v>151.09557575017757</v>
      </c>
      <c r="H45" s="111">
        <f>G45/2000</f>
        <v>0.07554778787508878</v>
      </c>
    </row>
    <row r="46" spans="1:8" s="96" customFormat="1" ht="12.75">
      <c r="A46" s="102"/>
      <c r="B46" s="103"/>
      <c r="C46" s="104"/>
      <c r="D46" s="104"/>
      <c r="E46" s="110"/>
      <c r="F46" s="110"/>
      <c r="G46" s="104"/>
      <c r="H46" s="111"/>
    </row>
    <row r="47" spans="1:9" s="96" customFormat="1" ht="12.75">
      <c r="A47" s="102" t="s">
        <v>90</v>
      </c>
      <c r="B47" s="103" t="s">
        <v>75</v>
      </c>
      <c r="C47" s="104">
        <f>C19*'% PRODUCTION'!F5</f>
        <v>5637.732275249915</v>
      </c>
      <c r="D47" s="104">
        <f>D19*'% PRODUCTION'!F5</f>
        <v>2101.488852392219</v>
      </c>
      <c r="E47" s="110">
        <v>0.8</v>
      </c>
      <c r="F47" s="110">
        <v>0.9</v>
      </c>
      <c r="G47" s="104">
        <f>D47*E47*(1-F47)</f>
        <v>168.1191081913775</v>
      </c>
      <c r="H47" s="111">
        <f>G47/2000</f>
        <v>0.08405955409568876</v>
      </c>
      <c r="I47" s="123">
        <f>(C47+C49+C51)/8.71</f>
        <v>1249.1115617110495</v>
      </c>
    </row>
    <row r="48" spans="1:8" s="96" customFormat="1" ht="12.75">
      <c r="A48" s="102"/>
      <c r="B48" s="103"/>
      <c r="C48" s="104"/>
      <c r="D48" s="104"/>
      <c r="E48" s="110"/>
      <c r="F48" s="110"/>
      <c r="G48" s="104"/>
      <c r="H48" s="111"/>
    </row>
    <row r="49" spans="1:8" s="96" customFormat="1" ht="12.75">
      <c r="A49" s="102" t="s">
        <v>91</v>
      </c>
      <c r="B49" s="103" t="s">
        <v>75</v>
      </c>
      <c r="C49" s="104">
        <f>C21*'% PRODUCTION'!F5</f>
        <v>5242.029427253326</v>
      </c>
      <c r="D49" s="104">
        <f>D21*'% PRODUCTION'!F5</f>
        <v>1897.8487242789224</v>
      </c>
      <c r="E49" s="110">
        <v>0.8</v>
      </c>
      <c r="F49" s="110">
        <v>0.9</v>
      </c>
      <c r="G49" s="104">
        <f>D49*E49*(1-F49)</f>
        <v>151.82789794231377</v>
      </c>
      <c r="H49" s="111">
        <f>G49/2000</f>
        <v>0.07591394897115689</v>
      </c>
    </row>
    <row r="50" spans="1:8" s="96" customFormat="1" ht="12.75">
      <c r="A50" s="102"/>
      <c r="B50" s="103"/>
      <c r="C50" s="104"/>
      <c r="D50" s="104"/>
      <c r="E50" s="110"/>
      <c r="F50" s="110"/>
      <c r="G50" s="104"/>
      <c r="H50" s="111"/>
    </row>
    <row r="51" spans="1:8" s="96" customFormat="1" ht="12.75">
      <c r="A51" s="102" t="s">
        <v>33</v>
      </c>
      <c r="B51" s="103" t="s">
        <v>75</v>
      </c>
      <c r="C51" s="104">
        <f>C23*'% PRODUCTION'!F5</f>
        <v>0</v>
      </c>
      <c r="D51" s="104">
        <f>D23*'% PRODUCTION'!F5</f>
        <v>0</v>
      </c>
      <c r="E51" s="110">
        <v>0.8</v>
      </c>
      <c r="F51" s="110">
        <v>0.9</v>
      </c>
      <c r="G51" s="104">
        <f>D51*E51*(1-F51)</f>
        <v>0</v>
      </c>
      <c r="H51" s="111">
        <f>G51/2000</f>
        <v>0</v>
      </c>
    </row>
    <row r="52" spans="1:8" s="96" customFormat="1" ht="12.75">
      <c r="A52" s="102"/>
      <c r="B52" s="103"/>
      <c r="C52" s="104"/>
      <c r="D52" s="104"/>
      <c r="E52" s="110"/>
      <c r="F52" s="110"/>
      <c r="G52" s="104"/>
      <c r="H52" s="111"/>
    </row>
    <row r="53" spans="1:8" s="96" customFormat="1" ht="12.75">
      <c r="A53" s="102" t="s">
        <v>34</v>
      </c>
      <c r="B53" s="103" t="s">
        <v>75</v>
      </c>
      <c r="C53" s="104">
        <f>C25*'% PRODUCTION'!F5</f>
        <v>0</v>
      </c>
      <c r="D53" s="104">
        <f>D23*'% PRODUCTION'!F5</f>
        <v>0</v>
      </c>
      <c r="E53" s="110">
        <v>0.8</v>
      </c>
      <c r="F53" s="110">
        <v>0.9</v>
      </c>
      <c r="G53" s="104">
        <f>D53*E53*(1-F53)</f>
        <v>0</v>
      </c>
      <c r="H53" s="111">
        <f>G53/2000</f>
        <v>0</v>
      </c>
    </row>
    <row r="54" spans="1:8" s="96" customFormat="1" ht="12.75">
      <c r="A54" s="102"/>
      <c r="B54" s="103"/>
      <c r="C54" s="104"/>
      <c r="D54" s="104"/>
      <c r="E54" s="110"/>
      <c r="F54" s="110"/>
      <c r="G54" s="104"/>
      <c r="H54" s="111"/>
    </row>
    <row r="55" spans="1:8" s="96" customFormat="1" ht="12.75">
      <c r="A55" s="102" t="s">
        <v>35</v>
      </c>
      <c r="B55" s="103" t="s">
        <v>75</v>
      </c>
      <c r="C55" s="104">
        <f>C27*'% PRODUCTION'!F5</f>
        <v>0</v>
      </c>
      <c r="D55" s="104">
        <f>D27*'% PRODUCTION'!F5</f>
        <v>0</v>
      </c>
      <c r="E55" s="110">
        <v>0.8</v>
      </c>
      <c r="F55" s="110">
        <v>0.9</v>
      </c>
      <c r="G55" s="104">
        <f>D55*E55*(1-F55)</f>
        <v>0</v>
      </c>
      <c r="H55" s="111">
        <f>G55/2000</f>
        <v>0</v>
      </c>
    </row>
    <row r="56" spans="1:8" s="96" customFormat="1" ht="12.75">
      <c r="A56" s="102"/>
      <c r="B56" s="103"/>
      <c r="C56" s="104"/>
      <c r="D56" s="104"/>
      <c r="E56" s="110"/>
      <c r="F56" s="110"/>
      <c r="G56" s="104"/>
      <c r="H56" s="111"/>
    </row>
    <row r="57" spans="1:8" s="96" customFormat="1" ht="12.75">
      <c r="A57" s="102" t="s">
        <v>36</v>
      </c>
      <c r="B57" s="103" t="s">
        <v>75</v>
      </c>
      <c r="C57" s="104">
        <f>C29*'% PRODUCTION'!F5</f>
        <v>0</v>
      </c>
      <c r="D57" s="104">
        <f>D29*'% PRODUCTION'!F5</f>
        <v>0</v>
      </c>
      <c r="E57" s="110">
        <v>0.8</v>
      </c>
      <c r="F57" s="110">
        <v>0.9</v>
      </c>
      <c r="G57" s="104">
        <f>D57*E57*(1-F57)</f>
        <v>0</v>
      </c>
      <c r="H57" s="111">
        <f>G57/2000</f>
        <v>0</v>
      </c>
    </row>
    <row r="58" spans="1:8" s="96" customFormat="1" ht="12.75">
      <c r="A58" s="102"/>
      <c r="B58" s="103"/>
      <c r="C58" s="104"/>
      <c r="D58" s="104"/>
      <c r="E58" s="110"/>
      <c r="F58" s="110"/>
      <c r="G58" s="104"/>
      <c r="H58" s="111"/>
    </row>
    <row r="59" spans="1:8" s="96" customFormat="1" ht="12.75">
      <c r="A59" s="102" t="s">
        <v>37</v>
      </c>
      <c r="B59" s="103" t="s">
        <v>75</v>
      </c>
      <c r="C59" s="104">
        <f>C31*'% PRODUCTION'!F5</f>
        <v>0</v>
      </c>
      <c r="D59" s="104">
        <f>D31*'% PRODUCTION'!F5</f>
        <v>0</v>
      </c>
      <c r="E59" s="110">
        <v>0.8</v>
      </c>
      <c r="F59" s="110">
        <v>0.9</v>
      </c>
      <c r="G59" s="104">
        <f>D59*E59*(1-F59)</f>
        <v>0</v>
      </c>
      <c r="H59" s="111">
        <f>G59/2000</f>
        <v>0</v>
      </c>
    </row>
    <row r="60" spans="3:8" s="96" customFormat="1" ht="12.75">
      <c r="C60" s="123">
        <f>SUM(C37:C59)</f>
        <v>46041.95158166796</v>
      </c>
      <c r="D60" s="123">
        <f>SUM(D37:D59)</f>
        <v>16916.288050307212</v>
      </c>
      <c r="H60" s="153">
        <f>SUM(H37:H59)</f>
        <v>0.6766515220122883</v>
      </c>
    </row>
    <row r="61" spans="1:8" s="96" customFormat="1" ht="18">
      <c r="A61" s="302" t="s">
        <v>187</v>
      </c>
      <c r="B61" s="302"/>
      <c r="C61" s="302"/>
      <c r="D61" s="302"/>
      <c r="E61" s="302"/>
      <c r="F61" s="302"/>
      <c r="G61" s="302"/>
      <c r="H61" s="302"/>
    </row>
    <row r="62" spans="3:8" s="96" customFormat="1" ht="12.75">
      <c r="C62" s="123"/>
      <c r="H62" s="131"/>
    </row>
    <row r="63" spans="3:8" s="96" customFormat="1" ht="12.75">
      <c r="C63" s="123"/>
      <c r="H63" s="131"/>
    </row>
    <row r="64" spans="1:8" s="96" customFormat="1" ht="38.25">
      <c r="A64" s="97" t="s">
        <v>25</v>
      </c>
      <c r="B64" s="98" t="s">
        <v>18</v>
      </c>
      <c r="C64" s="99" t="s">
        <v>59</v>
      </c>
      <c r="D64" s="107" t="s">
        <v>46</v>
      </c>
      <c r="E64" s="108" t="s">
        <v>47</v>
      </c>
      <c r="F64" s="100" t="s">
        <v>48</v>
      </c>
      <c r="G64" s="101" t="s">
        <v>49</v>
      </c>
      <c r="H64" s="109" t="s">
        <v>50</v>
      </c>
    </row>
    <row r="65" spans="1:8" s="96" customFormat="1" ht="12.75">
      <c r="A65" s="102" t="s">
        <v>26</v>
      </c>
      <c r="B65" s="103" t="s">
        <v>75</v>
      </c>
      <c r="C65" s="104">
        <f>C9*'% PRODUCTION'!F6</f>
        <v>15350.668451691574</v>
      </c>
      <c r="D65" s="104">
        <f>D9*'% PRODUCTION'!F5</f>
        <v>2323.2717059166844</v>
      </c>
      <c r="E65" s="110">
        <v>0.8</v>
      </c>
      <c r="F65" s="110">
        <v>0.92</v>
      </c>
      <c r="G65" s="104">
        <f>D65*E65*(1-F65)</f>
        <v>148.68938917866774</v>
      </c>
      <c r="H65" s="103">
        <f>G65/2000</f>
        <v>0.07434469458933388</v>
      </c>
    </row>
    <row r="66" spans="1:8" s="96" customFormat="1" ht="12.75">
      <c r="A66" s="102"/>
      <c r="B66" s="103"/>
      <c r="C66" s="105"/>
      <c r="D66" s="105"/>
      <c r="E66" s="110"/>
      <c r="F66" s="110"/>
      <c r="G66" s="105"/>
      <c r="H66" s="124"/>
    </row>
    <row r="67" spans="1:8" s="96" customFormat="1" ht="12.75">
      <c r="A67" s="102" t="s">
        <v>27</v>
      </c>
      <c r="B67" s="103" t="s">
        <v>75</v>
      </c>
      <c r="C67" s="104">
        <f>C11*'% PRODUCTION'!F6</f>
        <v>14631.252170136526</v>
      </c>
      <c r="D67" s="104">
        <f>D11*'% PRODUCTION'!F6</f>
        <v>5509.105738549369</v>
      </c>
      <c r="E67" s="110">
        <v>0.8</v>
      </c>
      <c r="F67" s="110">
        <f>F65</f>
        <v>0.92</v>
      </c>
      <c r="G67" s="104">
        <f>D67*E67*(1-F67)</f>
        <v>352.5827672671594</v>
      </c>
      <c r="H67" s="103">
        <f>G67/2000</f>
        <v>0.1762913836335797</v>
      </c>
    </row>
    <row r="68" spans="1:8" s="96" customFormat="1" ht="12.75">
      <c r="A68" s="102"/>
      <c r="B68" s="103"/>
      <c r="C68" s="105"/>
      <c r="D68" s="105"/>
      <c r="E68" s="110"/>
      <c r="F68" s="110"/>
      <c r="G68" s="105"/>
      <c r="H68" s="124"/>
    </row>
    <row r="69" spans="1:8" s="96" customFormat="1" ht="12.75">
      <c r="A69" s="102" t="s">
        <v>28</v>
      </c>
      <c r="B69" s="103" t="s">
        <v>75</v>
      </c>
      <c r="C69" s="104">
        <f>C13*'% PRODUCTION'!F6</f>
        <v>20874.77633453599</v>
      </c>
      <c r="D69" s="104">
        <f>D13*'% PRODUCTION'!F6</f>
        <v>7716.506893007812</v>
      </c>
      <c r="E69" s="110">
        <v>0.8</v>
      </c>
      <c r="F69" s="110">
        <f>F67</f>
        <v>0.92</v>
      </c>
      <c r="G69" s="104">
        <f>D69*E69*(1-F69)</f>
        <v>493.8564411524998</v>
      </c>
      <c r="H69" s="103">
        <f>G69/2000</f>
        <v>0.2469282205762499</v>
      </c>
    </row>
    <row r="70" spans="1:8" s="96" customFormat="1" ht="12.75">
      <c r="A70" s="102"/>
      <c r="B70" s="103"/>
      <c r="C70" s="105"/>
      <c r="D70" s="105"/>
      <c r="E70" s="110"/>
      <c r="F70" s="110"/>
      <c r="G70" s="105"/>
      <c r="H70" s="124"/>
    </row>
    <row r="71" spans="1:8" s="96" customFormat="1" ht="12.75">
      <c r="A71" s="113" t="s">
        <v>29</v>
      </c>
      <c r="B71" s="116" t="s">
        <v>75</v>
      </c>
      <c r="C71" s="117">
        <f>C15*'% PRODUCTION'!F6</f>
        <v>20689.330272081632</v>
      </c>
      <c r="D71" s="117">
        <f>D15*'% PRODUCTION'!F6</f>
        <v>7590.018633410615</v>
      </c>
      <c r="E71" s="118">
        <v>0.8</v>
      </c>
      <c r="F71" s="118">
        <f>F65</f>
        <v>0.92</v>
      </c>
      <c r="G71" s="117">
        <f>D71*E71*(1-F71)</f>
        <v>485.7611925382791</v>
      </c>
      <c r="H71" s="116">
        <f>G71/2000</f>
        <v>0.24288059626913955</v>
      </c>
    </row>
    <row r="72" spans="1:8" s="96" customFormat="1" ht="12.75">
      <c r="A72" s="113"/>
      <c r="B72" s="116"/>
      <c r="C72" s="117"/>
      <c r="D72" s="117"/>
      <c r="E72" s="118"/>
      <c r="F72" s="118"/>
      <c r="G72" s="117"/>
      <c r="H72" s="116"/>
    </row>
    <row r="73" spans="1:8" s="96" customFormat="1" ht="12.75">
      <c r="A73" s="113" t="s">
        <v>30</v>
      </c>
      <c r="B73" s="116" t="s">
        <v>75</v>
      </c>
      <c r="C73" s="117">
        <f>C17*'% PRODUCTION'!F6</f>
        <v>12930.324239375304</v>
      </c>
      <c r="D73" s="117">
        <f>D17*'% PRODUCTION'!F6</f>
        <v>4516.30606815032</v>
      </c>
      <c r="E73" s="118">
        <v>0.8</v>
      </c>
      <c r="F73" s="118">
        <f>F65</f>
        <v>0.92</v>
      </c>
      <c r="G73" s="117">
        <f>D73*E73*(1-F73)</f>
        <v>289.0435883616203</v>
      </c>
      <c r="H73" s="116">
        <f>G73/2000</f>
        <v>0.14452179418081015</v>
      </c>
    </row>
    <row r="74" spans="1:8" s="96" customFormat="1" ht="12.75">
      <c r="A74" s="102"/>
      <c r="B74" s="103"/>
      <c r="C74" s="104"/>
      <c r="D74" s="104"/>
      <c r="E74" s="110"/>
      <c r="F74" s="110"/>
      <c r="G74" s="104"/>
      <c r="H74" s="103"/>
    </row>
    <row r="75" spans="1:9" s="96" customFormat="1" ht="12.75">
      <c r="A75" s="102" t="s">
        <v>90</v>
      </c>
      <c r="B75" s="103" t="s">
        <v>75</v>
      </c>
      <c r="C75" s="104">
        <f>C19*'% PRODUCTION'!F6</f>
        <v>13481.12245320362</v>
      </c>
      <c r="D75" s="104">
        <f>D19*'% PRODUCTION'!F6</f>
        <v>5025.146135000884</v>
      </c>
      <c r="E75" s="110">
        <v>0.8</v>
      </c>
      <c r="F75" s="110">
        <f>F65</f>
        <v>0.92</v>
      </c>
      <c r="G75" s="117">
        <f>D75*E75*(1-F75)</f>
        <v>321.60935264005644</v>
      </c>
      <c r="H75" s="116">
        <f>G75/2000</f>
        <v>0.16080467632002823</v>
      </c>
      <c r="I75" s="123">
        <f>(C75+C77+C79)/8.71</f>
        <v>2986.9147910881584</v>
      </c>
    </row>
    <row r="76" spans="1:8" s="96" customFormat="1" ht="12.75">
      <c r="A76" s="102"/>
      <c r="B76" s="103"/>
      <c r="C76" s="104"/>
      <c r="D76" s="104"/>
      <c r="E76" s="110"/>
      <c r="F76" s="110"/>
      <c r="G76" s="104"/>
      <c r="H76" s="103"/>
    </row>
    <row r="77" spans="1:8" s="96" customFormat="1" ht="12.75">
      <c r="A77" s="102" t="s">
        <v>91</v>
      </c>
      <c r="B77" s="103" t="s">
        <v>75</v>
      </c>
      <c r="C77" s="104">
        <f>C21*'% PRODUCTION'!F6</f>
        <v>12534.90537717424</v>
      </c>
      <c r="D77" s="104">
        <f>D21*'% PRODUCTION'!F6</f>
        <v>4538.195465928943</v>
      </c>
      <c r="E77" s="118">
        <v>0.8</v>
      </c>
      <c r="F77" s="118">
        <f>F65</f>
        <v>0.92</v>
      </c>
      <c r="G77" s="117">
        <f>D77*E77*(1-F77)</f>
        <v>290.4445098194522</v>
      </c>
      <c r="H77" s="116">
        <f>G77/2000</f>
        <v>0.1452222549097261</v>
      </c>
    </row>
    <row r="78" spans="1:8" s="96" customFormat="1" ht="12.75">
      <c r="A78" s="102"/>
      <c r="B78" s="103"/>
      <c r="C78" s="104"/>
      <c r="D78" s="104"/>
      <c r="E78" s="110"/>
      <c r="F78" s="110"/>
      <c r="G78" s="104"/>
      <c r="H78" s="103"/>
    </row>
    <row r="79" spans="1:8" s="96" customFormat="1" ht="12.75">
      <c r="A79" s="102" t="s">
        <v>33</v>
      </c>
      <c r="B79" s="103" t="s">
        <v>75</v>
      </c>
      <c r="C79" s="104">
        <f>C23*'% PRODUCTION'!F6</f>
        <v>0</v>
      </c>
      <c r="D79" s="104">
        <f>D23*'% PRODUCTION'!F6</f>
        <v>0</v>
      </c>
      <c r="E79" s="118">
        <v>0.8</v>
      </c>
      <c r="F79" s="118">
        <f>F65</f>
        <v>0.92</v>
      </c>
      <c r="G79" s="117">
        <f>D79*E79*(1-F79)</f>
        <v>0</v>
      </c>
      <c r="H79" s="119">
        <f>G79/2000</f>
        <v>0</v>
      </c>
    </row>
    <row r="80" spans="1:8" s="96" customFormat="1" ht="12.75">
      <c r="A80" s="102"/>
      <c r="B80" s="103"/>
      <c r="C80" s="104"/>
      <c r="D80" s="104"/>
      <c r="E80" s="110"/>
      <c r="F80" s="110"/>
      <c r="G80" s="104"/>
      <c r="H80" s="111"/>
    </row>
    <row r="81" spans="1:8" s="96" customFormat="1" ht="12.75">
      <c r="A81" s="102" t="s">
        <v>34</v>
      </c>
      <c r="B81" s="103" t="s">
        <v>75</v>
      </c>
      <c r="C81" s="104">
        <f>C25*'% PRODUCTION'!F6</f>
        <v>0</v>
      </c>
      <c r="D81" s="104">
        <f>D25*'% PRODUCTION'!F6</f>
        <v>0</v>
      </c>
      <c r="E81" s="118">
        <v>0.8</v>
      </c>
      <c r="F81" s="118">
        <f>F65</f>
        <v>0.92</v>
      </c>
      <c r="G81" s="117">
        <f>D81*E81*(1-F81)</f>
        <v>0</v>
      </c>
      <c r="H81" s="119">
        <f>G81/2000</f>
        <v>0</v>
      </c>
    </row>
    <row r="82" spans="1:8" s="96" customFormat="1" ht="12.75">
      <c r="A82" s="102"/>
      <c r="B82" s="103"/>
      <c r="C82" s="104"/>
      <c r="D82" s="104"/>
      <c r="E82" s="110"/>
      <c r="F82" s="110"/>
      <c r="G82" s="104"/>
      <c r="H82" s="111"/>
    </row>
    <row r="83" spans="1:8" s="96" customFormat="1" ht="12.75">
      <c r="A83" s="102" t="s">
        <v>35</v>
      </c>
      <c r="B83" s="103" t="s">
        <v>75</v>
      </c>
      <c r="C83" s="104">
        <f>C27*'% PRODUCTION'!F6</f>
        <v>0</v>
      </c>
      <c r="D83" s="104">
        <f>D27*'% PRODUCTION'!F6</f>
        <v>0</v>
      </c>
      <c r="E83" s="118">
        <v>0.8</v>
      </c>
      <c r="F83" s="118">
        <f>F65</f>
        <v>0.92</v>
      </c>
      <c r="G83" s="117">
        <f>D83*E83*(1-F83)</f>
        <v>0</v>
      </c>
      <c r="H83" s="119">
        <f>G83/2000</f>
        <v>0</v>
      </c>
    </row>
    <row r="84" spans="1:8" s="96" customFormat="1" ht="12.75">
      <c r="A84" s="102"/>
      <c r="B84" s="103"/>
      <c r="C84" s="104"/>
      <c r="D84" s="104"/>
      <c r="E84" s="110"/>
      <c r="F84" s="110"/>
      <c r="G84" s="104"/>
      <c r="H84" s="111"/>
    </row>
    <row r="85" spans="1:8" s="96" customFormat="1" ht="12.75">
      <c r="A85" s="102" t="s">
        <v>36</v>
      </c>
      <c r="B85" s="103" t="s">
        <v>75</v>
      </c>
      <c r="C85" s="104">
        <f>C29*'% PRODUCTION'!F6</f>
        <v>0</v>
      </c>
      <c r="D85" s="104">
        <f>D29*'% PRODUCTION'!F6</f>
        <v>0</v>
      </c>
      <c r="E85" s="118">
        <v>0.8</v>
      </c>
      <c r="F85" s="118">
        <f>F65</f>
        <v>0.92</v>
      </c>
      <c r="G85" s="117">
        <f>D85*E85*(1-F85)</f>
        <v>0</v>
      </c>
      <c r="H85" s="119">
        <f>G85/2000</f>
        <v>0</v>
      </c>
    </row>
    <row r="86" spans="1:8" s="96" customFormat="1" ht="12.75">
      <c r="A86" s="102"/>
      <c r="B86" s="103"/>
      <c r="C86" s="104"/>
      <c r="D86" s="104"/>
      <c r="E86" s="110"/>
      <c r="F86" s="110"/>
      <c r="G86" s="104"/>
      <c r="H86" s="111"/>
    </row>
    <row r="87" spans="1:8" s="96" customFormat="1" ht="12.75">
      <c r="A87" s="102" t="s">
        <v>37</v>
      </c>
      <c r="B87" s="103" t="s">
        <v>75</v>
      </c>
      <c r="C87" s="104">
        <f>C31*'% PRODUCTION'!F6</f>
        <v>0</v>
      </c>
      <c r="D87" s="104">
        <f>D31*'% PRODUCTION'!F6</f>
        <v>0</v>
      </c>
      <c r="E87" s="110">
        <v>0.8</v>
      </c>
      <c r="F87" s="110">
        <f>F65</f>
        <v>0.92</v>
      </c>
      <c r="G87" s="117">
        <f>D87*E87*(1-F87)</f>
        <v>0</v>
      </c>
      <c r="H87" s="119">
        <f>G87/2000</f>
        <v>0</v>
      </c>
    </row>
    <row r="88" spans="1:8" s="96" customFormat="1" ht="12.75">
      <c r="A88" s="95"/>
      <c r="B88" s="120"/>
      <c r="C88" s="121">
        <f>SUM(C65:C87)</f>
        <v>110492.37929819888</v>
      </c>
      <c r="D88" s="121">
        <f>SUM(D65:D87)</f>
        <v>37218.550639964626</v>
      </c>
      <c r="E88" s="122"/>
      <c r="F88" s="122"/>
      <c r="G88" s="121"/>
      <c r="H88" s="120">
        <f>SUM(H65:H87)</f>
        <v>1.1909936204788676</v>
      </c>
    </row>
    <row r="89" spans="3:8" s="96" customFormat="1" ht="12.75">
      <c r="C89" s="123"/>
      <c r="H89" s="131"/>
    </row>
    <row r="90" spans="1:8" s="96" customFormat="1" ht="18">
      <c r="A90" s="302" t="s">
        <v>188</v>
      </c>
      <c r="B90" s="302"/>
      <c r="C90" s="302"/>
      <c r="D90" s="302"/>
      <c r="E90" s="302"/>
      <c r="F90" s="302"/>
      <c r="G90" s="302"/>
      <c r="H90" s="302"/>
    </row>
    <row r="91" spans="3:8" s="96" customFormat="1" ht="12.75">
      <c r="C91" s="123"/>
      <c r="H91" s="131"/>
    </row>
    <row r="92" spans="3:8" s="96" customFormat="1" ht="12.75">
      <c r="C92" s="123"/>
      <c r="H92" s="131"/>
    </row>
    <row r="93" spans="1:8" s="96" customFormat="1" ht="38.25">
      <c r="A93" s="97" t="s">
        <v>25</v>
      </c>
      <c r="B93" s="98" t="s">
        <v>18</v>
      </c>
      <c r="C93" s="99" t="s">
        <v>59</v>
      </c>
      <c r="D93" s="107" t="s">
        <v>46</v>
      </c>
      <c r="E93" s="108" t="s">
        <v>47</v>
      </c>
      <c r="F93" s="100" t="s">
        <v>48</v>
      </c>
      <c r="G93" s="101" t="s">
        <v>49</v>
      </c>
      <c r="H93" s="109" t="s">
        <v>50</v>
      </c>
    </row>
    <row r="94" spans="1:8" s="96" customFormat="1" ht="12.75">
      <c r="A94" s="102" t="s">
        <v>26</v>
      </c>
      <c r="B94" s="103" t="s">
        <v>75</v>
      </c>
      <c r="C94" s="104">
        <f>C9*'% PRODUCTION'!F7</f>
        <v>7739.765278721105</v>
      </c>
      <c r="D94" s="104">
        <f>D9*'% PRODUCTION'!F7</f>
        <v>2801.058035287646</v>
      </c>
      <c r="E94" s="110">
        <v>0.8</v>
      </c>
      <c r="F94" s="110">
        <f>F65</f>
        <v>0.92</v>
      </c>
      <c r="G94" s="104">
        <f>D94*E94*(1-F94)</f>
        <v>179.26771425840926</v>
      </c>
      <c r="H94" s="103">
        <f>G94/2000</f>
        <v>0.08963385712920463</v>
      </c>
    </row>
    <row r="95" spans="1:8" s="96" customFormat="1" ht="12.75">
      <c r="A95" s="102"/>
      <c r="B95" s="103"/>
      <c r="C95" s="105"/>
      <c r="D95" s="105"/>
      <c r="E95" s="110"/>
      <c r="F95" s="110"/>
      <c r="G95" s="105"/>
      <c r="H95" s="124"/>
    </row>
    <row r="96" spans="1:8" s="96" customFormat="1" ht="12.75">
      <c r="A96" s="102" t="s">
        <v>27</v>
      </c>
      <c r="B96" s="103" t="s">
        <v>75</v>
      </c>
      <c r="C96" s="104">
        <f>C11*'% PRODUCTION'!F7</f>
        <v>7377.037546410997</v>
      </c>
      <c r="D96" s="104">
        <f>D11*'% PRODUCTION'!F7</f>
        <v>2777.6761283205847</v>
      </c>
      <c r="E96" s="110">
        <v>0.8</v>
      </c>
      <c r="F96" s="110">
        <f>F94</f>
        <v>0.92</v>
      </c>
      <c r="G96" s="104">
        <f>D96*E96*(1-F96)</f>
        <v>177.77127221251735</v>
      </c>
      <c r="H96" s="103">
        <f>G96/2000</f>
        <v>0.08888563610625867</v>
      </c>
    </row>
    <row r="97" spans="1:8" s="96" customFormat="1" ht="12.75">
      <c r="A97" s="102"/>
      <c r="B97" s="103"/>
      <c r="C97" s="105"/>
      <c r="D97" s="105"/>
      <c r="E97" s="110"/>
      <c r="F97" s="110"/>
      <c r="G97" s="105"/>
      <c r="H97" s="124"/>
    </row>
    <row r="98" spans="1:8" s="96" customFormat="1" ht="12.75">
      <c r="A98" s="102" t="s">
        <v>28</v>
      </c>
      <c r="B98" s="103" t="s">
        <v>75</v>
      </c>
      <c r="C98" s="104">
        <f>C13*'% PRODUCTION'!F7</f>
        <v>10525.005447388632</v>
      </c>
      <c r="D98" s="104">
        <f>D13*'% PRODUCTION'!F7</f>
        <v>3890.6417861518353</v>
      </c>
      <c r="E98" s="110">
        <v>0.8</v>
      </c>
      <c r="F98" s="110">
        <f>F94</f>
        <v>0.92</v>
      </c>
      <c r="G98" s="104">
        <f>D98*E98*(1-F98)</f>
        <v>249.00107431371734</v>
      </c>
      <c r="H98" s="103">
        <f>G98/2000</f>
        <v>0.12450053715685867</v>
      </c>
    </row>
    <row r="99" spans="1:8" s="96" customFormat="1" ht="12.75">
      <c r="A99" s="102"/>
      <c r="B99" s="103"/>
      <c r="C99" s="105"/>
      <c r="D99" s="105"/>
      <c r="E99" s="110"/>
      <c r="F99" s="110"/>
      <c r="G99" s="105"/>
      <c r="H99" s="124"/>
    </row>
    <row r="100" spans="1:8" s="96" customFormat="1" ht="12.75">
      <c r="A100" s="102" t="s">
        <v>29</v>
      </c>
      <c r="B100" s="103" t="s">
        <v>75</v>
      </c>
      <c r="C100" s="104">
        <f>C15*'% PRODUCTION'!F7</f>
        <v>10431.504047122144</v>
      </c>
      <c r="D100" s="104">
        <f>D15*'% PRODUCTION'!F7</f>
        <v>3826.8667497176157</v>
      </c>
      <c r="E100" s="110">
        <v>0.8</v>
      </c>
      <c r="F100" s="110">
        <f>F94</f>
        <v>0.92</v>
      </c>
      <c r="G100" s="104">
        <f>D100*E100*(1-F100)</f>
        <v>244.9194719819273</v>
      </c>
      <c r="H100" s="103">
        <f>G100/2000</f>
        <v>0.12245973599096364</v>
      </c>
    </row>
    <row r="101" spans="1:8" s="96" customFormat="1" ht="12.75">
      <c r="A101" s="102"/>
      <c r="B101" s="103"/>
      <c r="C101" s="104"/>
      <c r="D101" s="104"/>
      <c r="E101" s="110"/>
      <c r="F101" s="110"/>
      <c r="G101" s="104"/>
      <c r="H101" s="103"/>
    </row>
    <row r="102" spans="1:8" s="96" customFormat="1" ht="12.75">
      <c r="A102" s="102" t="s">
        <v>30</v>
      </c>
      <c r="B102" s="103" t="s">
        <v>75</v>
      </c>
      <c r="C102" s="104">
        <f>C17*'% PRODUCTION'!F7</f>
        <v>6519.434310334203</v>
      </c>
      <c r="D102" s="104">
        <f>D17*'% PRODUCTION'!F7</f>
        <v>2277.10923497246</v>
      </c>
      <c r="E102" s="110">
        <v>0.8</v>
      </c>
      <c r="F102" s="110">
        <f>F94</f>
        <v>0.92</v>
      </c>
      <c r="G102" s="104">
        <f>D102*E102*(1-F102)</f>
        <v>145.73499103823735</v>
      </c>
      <c r="H102" s="103">
        <f>G102/2000</f>
        <v>0.07286749551911868</v>
      </c>
    </row>
    <row r="103" spans="1:8" s="96" customFormat="1" ht="12.75">
      <c r="A103" s="102"/>
      <c r="B103" s="103"/>
      <c r="C103" s="104"/>
      <c r="D103" s="104"/>
      <c r="E103" s="110"/>
      <c r="F103" s="110"/>
      <c r="G103" s="104"/>
      <c r="H103" s="103"/>
    </row>
    <row r="104" spans="1:9" s="96" customFormat="1" ht="12.75">
      <c r="A104" s="102" t="s">
        <v>90</v>
      </c>
      <c r="B104" s="103" t="s">
        <v>75</v>
      </c>
      <c r="C104" s="104">
        <f>C19*'% PRODUCTION'!F7</f>
        <v>6797.145271546464</v>
      </c>
      <c r="D104" s="104">
        <f>D19*'% PRODUCTION'!F7</f>
        <v>2533.6650126068953</v>
      </c>
      <c r="E104" s="110">
        <v>0.8</v>
      </c>
      <c r="F104" s="110">
        <f>F94</f>
        <v>0.92</v>
      </c>
      <c r="G104" s="104">
        <f>D104*E104*(1-F104)</f>
        <v>162.15456080684123</v>
      </c>
      <c r="H104" s="103">
        <f>G104/2000</f>
        <v>0.08107728040342062</v>
      </c>
      <c r="I104" s="123">
        <f>(C104+C106+C108)/8.71</f>
        <v>1505.9943131020543</v>
      </c>
    </row>
    <row r="105" spans="1:8" s="96" customFormat="1" ht="12.75">
      <c r="A105" s="102"/>
      <c r="B105" s="103"/>
      <c r="C105" s="104"/>
      <c r="D105" s="104"/>
      <c r="E105" s="110"/>
      <c r="F105" s="110"/>
      <c r="G105" s="104"/>
      <c r="H105" s="103"/>
    </row>
    <row r="106" spans="1:8" s="96" customFormat="1" ht="12.75">
      <c r="A106" s="102" t="s">
        <v>91</v>
      </c>
      <c r="B106" s="103" t="s">
        <v>75</v>
      </c>
      <c r="C106" s="104">
        <f>C21*'% PRODUCTION'!F7</f>
        <v>6320.065195572432</v>
      </c>
      <c r="D106" s="104">
        <f>D21*'% PRODUCTION'!F7</f>
        <v>2288.145809792134</v>
      </c>
      <c r="E106" s="118">
        <v>0.8</v>
      </c>
      <c r="F106" s="118">
        <f>F94</f>
        <v>0.92</v>
      </c>
      <c r="G106" s="104">
        <f>D106*E106*(1-F106)</f>
        <v>146.4413318266965</v>
      </c>
      <c r="H106" s="103">
        <f>G106/2000</f>
        <v>0.07322066591334826</v>
      </c>
    </row>
    <row r="107" spans="1:8" s="96" customFormat="1" ht="12.75">
      <c r="A107" s="102"/>
      <c r="B107" s="103"/>
      <c r="C107" s="104"/>
      <c r="D107" s="104"/>
      <c r="E107" s="118"/>
      <c r="F107" s="118"/>
      <c r="G107" s="104"/>
      <c r="H107" s="103"/>
    </row>
    <row r="108" spans="1:8" s="96" customFormat="1" ht="12.75">
      <c r="A108" s="102" t="s">
        <v>33</v>
      </c>
      <c r="B108" s="103" t="s">
        <v>75</v>
      </c>
      <c r="C108" s="104">
        <f>C23*'% PRODUCTION'!F7</f>
        <v>0</v>
      </c>
      <c r="D108" s="104">
        <f>D23*'% PRODUCTION'!F7</f>
        <v>0</v>
      </c>
      <c r="E108" s="118">
        <v>0.8</v>
      </c>
      <c r="F108" s="118">
        <f>F94</f>
        <v>0.92</v>
      </c>
      <c r="G108" s="104">
        <f>D108*E108*(1-F108)</f>
        <v>0</v>
      </c>
      <c r="H108" s="111">
        <f>G108/2000</f>
        <v>0</v>
      </c>
    </row>
    <row r="109" spans="1:8" s="96" customFormat="1" ht="12.75">
      <c r="A109" s="102"/>
      <c r="B109" s="103"/>
      <c r="C109" s="104"/>
      <c r="D109" s="104"/>
      <c r="E109" s="110"/>
      <c r="F109" s="110"/>
      <c r="G109" s="104"/>
      <c r="H109" s="111"/>
    </row>
    <row r="110" spans="1:8" s="96" customFormat="1" ht="12.75">
      <c r="A110" s="102" t="s">
        <v>34</v>
      </c>
      <c r="B110" s="103" t="s">
        <v>75</v>
      </c>
      <c r="C110" s="104">
        <f>C25*'% PRODUCTION'!F7</f>
        <v>0</v>
      </c>
      <c r="D110" s="104">
        <f>D25*'% PRODUCTION'!F7</f>
        <v>0</v>
      </c>
      <c r="E110" s="118">
        <v>0.8</v>
      </c>
      <c r="F110" s="118">
        <f>F94</f>
        <v>0.92</v>
      </c>
      <c r="G110" s="104">
        <f>D110*E110*(1-F110)</f>
        <v>0</v>
      </c>
      <c r="H110" s="111">
        <f>G110/2000</f>
        <v>0</v>
      </c>
    </row>
    <row r="111" spans="1:8" s="96" customFormat="1" ht="12.75">
      <c r="A111" s="102"/>
      <c r="B111" s="103"/>
      <c r="C111" s="104"/>
      <c r="D111" s="104"/>
      <c r="E111" s="110"/>
      <c r="F111" s="110"/>
      <c r="G111" s="104"/>
      <c r="H111" s="111"/>
    </row>
    <row r="112" spans="1:8" s="96" customFormat="1" ht="12.75">
      <c r="A112" s="102" t="s">
        <v>35</v>
      </c>
      <c r="B112" s="103" t="s">
        <v>75</v>
      </c>
      <c r="C112" s="104">
        <f>C27*'% PRODUCTION'!F7</f>
        <v>0</v>
      </c>
      <c r="D112" s="104">
        <f>D27*'% PRODUCTION'!F7</f>
        <v>0</v>
      </c>
      <c r="E112" s="118">
        <v>0.8</v>
      </c>
      <c r="F112" s="118">
        <f>F94</f>
        <v>0.92</v>
      </c>
      <c r="G112" s="104">
        <f>D112*E112*(1-F112)</f>
        <v>0</v>
      </c>
      <c r="H112" s="111">
        <f>G112/2000</f>
        <v>0</v>
      </c>
    </row>
    <row r="113" spans="1:8" s="96" customFormat="1" ht="12.75">
      <c r="A113" s="102"/>
      <c r="B113" s="103"/>
      <c r="C113" s="104"/>
      <c r="D113" s="104"/>
      <c r="E113" s="110"/>
      <c r="F113" s="110"/>
      <c r="G113" s="104"/>
      <c r="H113" s="111"/>
    </row>
    <row r="114" spans="1:8" s="96" customFormat="1" ht="12.75">
      <c r="A114" s="102" t="s">
        <v>36</v>
      </c>
      <c r="B114" s="103" t="s">
        <v>75</v>
      </c>
      <c r="C114" s="104">
        <f>C29*'% PRODUCTION'!F7</f>
        <v>0</v>
      </c>
      <c r="D114" s="104">
        <f>D29*'% PRODUCTION'!F7</f>
        <v>0</v>
      </c>
      <c r="E114" s="118">
        <v>0.8</v>
      </c>
      <c r="F114" s="118">
        <f>F94</f>
        <v>0.92</v>
      </c>
      <c r="G114" s="104">
        <f>D114*E114*(1-F114)</f>
        <v>0</v>
      </c>
      <c r="H114" s="111">
        <f>G114/2000</f>
        <v>0</v>
      </c>
    </row>
    <row r="115" spans="1:8" s="96" customFormat="1" ht="12.75">
      <c r="A115" s="102"/>
      <c r="B115" s="103"/>
      <c r="C115" s="104"/>
      <c r="D115" s="104"/>
      <c r="E115" s="110"/>
      <c r="F115" s="110"/>
      <c r="G115" s="104"/>
      <c r="H115" s="111"/>
    </row>
    <row r="116" spans="1:8" s="96" customFormat="1" ht="12.75">
      <c r="A116" s="102" t="s">
        <v>37</v>
      </c>
      <c r="B116" s="103" t="s">
        <v>75</v>
      </c>
      <c r="C116" s="104">
        <f>C31*'% PRODUCTION'!F7</f>
        <v>0</v>
      </c>
      <c r="D116" s="104">
        <f>D31*'% PRODUCTION'!F7</f>
        <v>0</v>
      </c>
      <c r="E116" s="110">
        <v>0.8</v>
      </c>
      <c r="F116" s="110">
        <f>F94</f>
        <v>0.92</v>
      </c>
      <c r="G116" s="104">
        <f>D116*E116*(1-F116)</f>
        <v>0</v>
      </c>
      <c r="H116" s="111">
        <f>G116/2000</f>
        <v>0</v>
      </c>
    </row>
    <row r="117" spans="3:8" s="96" customFormat="1" ht="12.75">
      <c r="C117" s="123">
        <f>SUM(C94:C116)</f>
        <v>55709.957097095976</v>
      </c>
      <c r="D117" s="123">
        <f>SUM(D94:D116)</f>
        <v>20395.16275684917</v>
      </c>
      <c r="H117" s="131">
        <f>SUM(H94:H116)</f>
        <v>0.6526452082191733</v>
      </c>
    </row>
    <row r="118" spans="3:8" s="96" customFormat="1" ht="12.75">
      <c r="C118" s="123"/>
      <c r="H118" s="131"/>
    </row>
    <row r="119" spans="3:8" s="96" customFormat="1" ht="12.75">
      <c r="C119" s="123"/>
      <c r="H119" s="131"/>
    </row>
    <row r="120" spans="3:8" s="96" customFormat="1" ht="12.75">
      <c r="C120" s="123"/>
      <c r="H120" s="131"/>
    </row>
    <row r="121" spans="3:8" s="96" customFormat="1" ht="12.75">
      <c r="C121" s="123"/>
      <c r="H121" s="131"/>
    </row>
    <row r="122" spans="3:8" s="96" customFormat="1" ht="12.75">
      <c r="C122" s="123"/>
      <c r="H122" s="131"/>
    </row>
    <row r="123" spans="3:8" s="96" customFormat="1" ht="12.75">
      <c r="C123" s="123"/>
      <c r="H123" s="131"/>
    </row>
    <row r="124" spans="3:8" s="96" customFormat="1" ht="12.75">
      <c r="C124" s="123"/>
      <c r="H124" s="131"/>
    </row>
    <row r="125" spans="3:8" s="96" customFormat="1" ht="12.75">
      <c r="C125" s="123"/>
      <c r="H125" s="131"/>
    </row>
    <row r="126" spans="3:8" s="96" customFormat="1" ht="12.75">
      <c r="C126" s="123"/>
      <c r="H126" s="131"/>
    </row>
    <row r="127" spans="3:8" s="96" customFormat="1" ht="12.75">
      <c r="C127" s="123"/>
      <c r="H127" s="131"/>
    </row>
    <row r="128" spans="3:8" s="96" customFormat="1" ht="12.75">
      <c r="C128" s="123"/>
      <c r="H128" s="131"/>
    </row>
    <row r="129" spans="3:8" s="96" customFormat="1" ht="12.75">
      <c r="C129" s="123"/>
      <c r="H129" s="131"/>
    </row>
    <row r="130" spans="3:8" s="96" customFormat="1" ht="12.75">
      <c r="C130" s="123"/>
      <c r="H130" s="131"/>
    </row>
    <row r="131" spans="3:8" s="96" customFormat="1" ht="12.75">
      <c r="C131" s="123"/>
      <c r="H131" s="131"/>
    </row>
    <row r="132" spans="3:8" s="96" customFormat="1" ht="12.75">
      <c r="C132" s="123"/>
      <c r="H132" s="131"/>
    </row>
    <row r="133" spans="3:8" s="96" customFormat="1" ht="12.75">
      <c r="C133" s="123"/>
      <c r="H133" s="131"/>
    </row>
    <row r="134" spans="3:8" s="96" customFormat="1" ht="12.75">
      <c r="C134" s="123"/>
      <c r="H134" s="131"/>
    </row>
    <row r="135" spans="3:8" s="96" customFormat="1" ht="12.75">
      <c r="C135" s="123"/>
      <c r="H135" s="131"/>
    </row>
    <row r="136" spans="3:8" s="96" customFormat="1" ht="12.75">
      <c r="C136" s="123"/>
      <c r="H136" s="131"/>
    </row>
    <row r="137" spans="3:8" s="96" customFormat="1" ht="12.75">
      <c r="C137" s="123"/>
      <c r="H137" s="131"/>
    </row>
    <row r="138" spans="3:8" s="96" customFormat="1" ht="12.75">
      <c r="C138" s="123"/>
      <c r="H138" s="131"/>
    </row>
    <row r="139" spans="3:8" s="96" customFormat="1" ht="12.75">
      <c r="C139" s="123"/>
      <c r="H139" s="131"/>
    </row>
    <row r="140" spans="3:8" s="96" customFormat="1" ht="12.75">
      <c r="C140" s="123"/>
      <c r="H140" s="131"/>
    </row>
    <row r="141" spans="3:8" s="96" customFormat="1" ht="12.75">
      <c r="C141" s="123"/>
      <c r="H141" s="131"/>
    </row>
    <row r="142" spans="3:8" s="96" customFormat="1" ht="12.75">
      <c r="C142" s="123"/>
      <c r="H142" s="131"/>
    </row>
    <row r="143" spans="3:8" s="96" customFormat="1" ht="12.75">
      <c r="C143" s="123"/>
      <c r="H143" s="131"/>
    </row>
    <row r="144" spans="3:8" s="96" customFormat="1" ht="12.75">
      <c r="C144" s="123"/>
      <c r="H144" s="131"/>
    </row>
    <row r="145" spans="3:8" s="96" customFormat="1" ht="12.75">
      <c r="C145" s="123"/>
      <c r="H145" s="131"/>
    </row>
    <row r="146" spans="3:8" s="96" customFormat="1" ht="12.75">
      <c r="C146" s="123"/>
      <c r="H146" s="131"/>
    </row>
    <row r="147" spans="3:8" s="96" customFormat="1" ht="12.75">
      <c r="C147" s="123"/>
      <c r="H147" s="131"/>
    </row>
    <row r="148" spans="3:8" s="96" customFormat="1" ht="12.75">
      <c r="C148" s="123"/>
      <c r="H148" s="131"/>
    </row>
    <row r="149" spans="3:8" s="96" customFormat="1" ht="12.75">
      <c r="C149" s="123"/>
      <c r="H149" s="131"/>
    </row>
    <row r="150" spans="3:8" s="96" customFormat="1" ht="12.75">
      <c r="C150" s="123"/>
      <c r="H150" s="131"/>
    </row>
    <row r="151" spans="3:8" s="96" customFormat="1" ht="12.75">
      <c r="C151" s="123"/>
      <c r="H151" s="131"/>
    </row>
    <row r="152" spans="3:8" s="96" customFormat="1" ht="12.75">
      <c r="C152" s="123"/>
      <c r="H152" s="131"/>
    </row>
    <row r="153" spans="3:8" s="96" customFormat="1" ht="12.75">
      <c r="C153" s="123"/>
      <c r="H153" s="131"/>
    </row>
    <row r="154" spans="3:8" s="96" customFormat="1" ht="12.75">
      <c r="C154" s="123"/>
      <c r="H154" s="131"/>
    </row>
    <row r="155" spans="3:8" s="96" customFormat="1" ht="12.75">
      <c r="C155" s="123"/>
      <c r="H155" s="131"/>
    </row>
    <row r="156" spans="3:8" s="96" customFormat="1" ht="12.75">
      <c r="C156" s="123"/>
      <c r="H156" s="131"/>
    </row>
    <row r="157" spans="3:8" s="96" customFormat="1" ht="12.75">
      <c r="C157" s="123"/>
      <c r="H157" s="131"/>
    </row>
    <row r="158" spans="3:8" s="96" customFormat="1" ht="12.75">
      <c r="C158" s="123"/>
      <c r="H158" s="131"/>
    </row>
    <row r="159" spans="3:8" s="96" customFormat="1" ht="12.75">
      <c r="C159" s="123"/>
      <c r="H159" s="131"/>
    </row>
    <row r="160" spans="3:8" s="96" customFormat="1" ht="12.75">
      <c r="C160" s="123"/>
      <c r="H160" s="131"/>
    </row>
    <row r="161" spans="3:8" s="96" customFormat="1" ht="12.75">
      <c r="C161" s="123"/>
      <c r="H161" s="131"/>
    </row>
    <row r="162" spans="3:8" s="96" customFormat="1" ht="12.75">
      <c r="C162" s="123"/>
      <c r="H162" s="131"/>
    </row>
    <row r="163" spans="3:8" s="96" customFormat="1" ht="12.75">
      <c r="C163" s="123"/>
      <c r="H163" s="131"/>
    </row>
    <row r="164" spans="3:8" s="96" customFormat="1" ht="12.75">
      <c r="C164" s="123"/>
      <c r="H164" s="131"/>
    </row>
    <row r="165" spans="3:8" s="96" customFormat="1" ht="12.75">
      <c r="C165" s="123"/>
      <c r="H165" s="131"/>
    </row>
    <row r="166" spans="3:8" s="96" customFormat="1" ht="12.75">
      <c r="C166" s="123"/>
      <c r="H166" s="131"/>
    </row>
    <row r="167" spans="3:8" s="96" customFormat="1" ht="12.75">
      <c r="C167" s="123"/>
      <c r="H167" s="131"/>
    </row>
    <row r="168" spans="3:8" s="96" customFormat="1" ht="12.75">
      <c r="C168" s="123"/>
      <c r="H168" s="131"/>
    </row>
    <row r="169" spans="3:8" s="96" customFormat="1" ht="12.75">
      <c r="C169" s="123"/>
      <c r="H169" s="131"/>
    </row>
    <row r="170" spans="3:8" s="96" customFormat="1" ht="12.75">
      <c r="C170" s="123"/>
      <c r="H170" s="131"/>
    </row>
    <row r="171" spans="3:8" s="96" customFormat="1" ht="12.75">
      <c r="C171" s="123"/>
      <c r="H171" s="131"/>
    </row>
    <row r="172" spans="3:8" s="96" customFormat="1" ht="12.75">
      <c r="C172" s="123"/>
      <c r="H172" s="131"/>
    </row>
    <row r="173" spans="3:8" s="96" customFormat="1" ht="12.75">
      <c r="C173" s="123"/>
      <c r="H173" s="131"/>
    </row>
    <row r="174" spans="3:8" s="96" customFormat="1" ht="12.75">
      <c r="C174" s="123"/>
      <c r="H174" s="131"/>
    </row>
    <row r="175" spans="3:8" s="96" customFormat="1" ht="12.75">
      <c r="C175" s="123"/>
      <c r="H175" s="131"/>
    </row>
    <row r="176" spans="3:8" s="96" customFormat="1" ht="12.75">
      <c r="C176" s="123"/>
      <c r="H176" s="131"/>
    </row>
    <row r="177" spans="3:8" s="96" customFormat="1" ht="12.75">
      <c r="C177" s="123"/>
      <c r="H177" s="131"/>
    </row>
    <row r="178" spans="3:8" s="96" customFormat="1" ht="12.75">
      <c r="C178" s="123"/>
      <c r="H178" s="131"/>
    </row>
    <row r="179" spans="3:8" s="96" customFormat="1" ht="12.75">
      <c r="C179" s="123"/>
      <c r="H179" s="131"/>
    </row>
    <row r="180" spans="3:8" s="96" customFormat="1" ht="12.75">
      <c r="C180" s="123"/>
      <c r="H180" s="131"/>
    </row>
    <row r="181" spans="3:8" s="96" customFormat="1" ht="12.75">
      <c r="C181" s="123"/>
      <c r="H181" s="131"/>
    </row>
    <row r="182" spans="3:8" s="96" customFormat="1" ht="12.75">
      <c r="C182" s="123"/>
      <c r="H182" s="131"/>
    </row>
    <row r="183" spans="3:8" s="96" customFormat="1" ht="12.75">
      <c r="C183" s="123"/>
      <c r="H183" s="131"/>
    </row>
    <row r="184" spans="3:8" s="96" customFormat="1" ht="12.75">
      <c r="C184" s="123"/>
      <c r="H184" s="131"/>
    </row>
    <row r="185" spans="3:8" s="96" customFormat="1" ht="12.75">
      <c r="C185" s="123"/>
      <c r="H185" s="131"/>
    </row>
    <row r="186" spans="3:8" s="96" customFormat="1" ht="12.75">
      <c r="C186" s="123"/>
      <c r="H186" s="131"/>
    </row>
    <row r="187" spans="3:8" s="96" customFormat="1" ht="12.75">
      <c r="C187" s="123"/>
      <c r="H187" s="131"/>
    </row>
    <row r="188" spans="3:8" s="96" customFormat="1" ht="12.75">
      <c r="C188" s="123"/>
      <c r="H188" s="131"/>
    </row>
    <row r="189" spans="3:8" s="96" customFormat="1" ht="12.75">
      <c r="C189" s="123"/>
      <c r="H189" s="131"/>
    </row>
    <row r="190" spans="3:8" s="96" customFormat="1" ht="12.75">
      <c r="C190" s="123"/>
      <c r="H190" s="131"/>
    </row>
    <row r="191" spans="3:8" s="96" customFormat="1" ht="12.75">
      <c r="C191" s="123"/>
      <c r="H191" s="131"/>
    </row>
    <row r="192" spans="3:8" s="96" customFormat="1" ht="12.75">
      <c r="C192" s="123"/>
      <c r="H192" s="131"/>
    </row>
    <row r="193" spans="3:8" s="96" customFormat="1" ht="12.75">
      <c r="C193" s="123"/>
      <c r="H193" s="131"/>
    </row>
    <row r="194" spans="3:8" s="96" customFormat="1" ht="12.75">
      <c r="C194" s="123"/>
      <c r="H194" s="131"/>
    </row>
    <row r="195" spans="3:8" s="96" customFormat="1" ht="12.75">
      <c r="C195" s="123"/>
      <c r="H195" s="131"/>
    </row>
    <row r="196" spans="3:8" s="96" customFormat="1" ht="12.75">
      <c r="C196" s="123"/>
      <c r="H196" s="131"/>
    </row>
    <row r="197" spans="3:8" s="96" customFormat="1" ht="12.75">
      <c r="C197" s="123"/>
      <c r="H197" s="131"/>
    </row>
    <row r="198" spans="3:8" s="96" customFormat="1" ht="12.75">
      <c r="C198" s="123"/>
      <c r="H198" s="131"/>
    </row>
    <row r="199" spans="3:8" s="96" customFormat="1" ht="12.75">
      <c r="C199" s="123"/>
      <c r="H199" s="131"/>
    </row>
    <row r="200" spans="3:8" s="96" customFormat="1" ht="12.75">
      <c r="C200" s="123"/>
      <c r="H200" s="131"/>
    </row>
    <row r="201" spans="3:8" s="96" customFormat="1" ht="12.75">
      <c r="C201" s="123"/>
      <c r="H201" s="131"/>
    </row>
    <row r="202" spans="3:8" s="96" customFormat="1" ht="12.75">
      <c r="C202" s="123"/>
      <c r="H202" s="131"/>
    </row>
    <row r="203" spans="3:8" s="96" customFormat="1" ht="12.75">
      <c r="C203" s="123"/>
      <c r="H203" s="131"/>
    </row>
    <row r="204" spans="3:8" s="96" customFormat="1" ht="12.75">
      <c r="C204" s="123"/>
      <c r="H204" s="131"/>
    </row>
    <row r="205" spans="3:8" s="96" customFormat="1" ht="12.75">
      <c r="C205" s="123"/>
      <c r="H205" s="131"/>
    </row>
    <row r="206" spans="3:8" s="96" customFormat="1" ht="12.75">
      <c r="C206" s="123"/>
      <c r="H206" s="131"/>
    </row>
    <row r="207" spans="3:8" s="96" customFormat="1" ht="12.75">
      <c r="C207" s="123"/>
      <c r="H207" s="131"/>
    </row>
    <row r="208" spans="3:8" s="96" customFormat="1" ht="12.75">
      <c r="C208" s="123"/>
      <c r="H208" s="131"/>
    </row>
    <row r="209" spans="3:8" s="96" customFormat="1" ht="12.75">
      <c r="C209" s="123"/>
      <c r="H209" s="131"/>
    </row>
    <row r="210" spans="3:8" s="96" customFormat="1" ht="12.75">
      <c r="C210" s="123"/>
      <c r="H210" s="131"/>
    </row>
    <row r="211" spans="3:8" s="96" customFormat="1" ht="12.75">
      <c r="C211" s="123"/>
      <c r="H211" s="131"/>
    </row>
    <row r="212" spans="3:8" s="96" customFormat="1" ht="12.75">
      <c r="C212" s="123"/>
      <c r="H212" s="131"/>
    </row>
    <row r="213" spans="3:8" s="96" customFormat="1" ht="12.75">
      <c r="C213" s="123"/>
      <c r="H213" s="131"/>
    </row>
    <row r="214" spans="3:8" s="96" customFormat="1" ht="12.75">
      <c r="C214" s="123"/>
      <c r="H214" s="131"/>
    </row>
    <row r="215" spans="3:8" s="96" customFormat="1" ht="12.75">
      <c r="C215" s="123"/>
      <c r="H215" s="131"/>
    </row>
    <row r="216" spans="3:8" s="96" customFormat="1" ht="12.75">
      <c r="C216" s="123"/>
      <c r="H216" s="131"/>
    </row>
    <row r="217" spans="3:8" s="96" customFormat="1" ht="12.75">
      <c r="C217" s="123"/>
      <c r="H217" s="131"/>
    </row>
    <row r="218" spans="3:8" s="96" customFormat="1" ht="12.75">
      <c r="C218" s="123"/>
      <c r="H218" s="131"/>
    </row>
    <row r="219" spans="3:8" s="96" customFormat="1" ht="12.75">
      <c r="C219" s="123"/>
      <c r="H219" s="131"/>
    </row>
    <row r="220" spans="3:8" s="96" customFormat="1" ht="12.75">
      <c r="C220" s="123"/>
      <c r="H220" s="131"/>
    </row>
    <row r="221" spans="3:8" s="96" customFormat="1" ht="12.75">
      <c r="C221" s="123"/>
      <c r="H221" s="131"/>
    </row>
    <row r="222" spans="3:8" s="96" customFormat="1" ht="12.75">
      <c r="C222" s="123"/>
      <c r="H222" s="131"/>
    </row>
    <row r="223" spans="3:8" s="96" customFormat="1" ht="12.75">
      <c r="C223" s="123"/>
      <c r="H223" s="131"/>
    </row>
    <row r="224" spans="3:8" s="96" customFormat="1" ht="12.75">
      <c r="C224" s="123"/>
      <c r="H224" s="131"/>
    </row>
    <row r="225" spans="3:8" s="96" customFormat="1" ht="12.75">
      <c r="C225" s="123"/>
      <c r="H225" s="131"/>
    </row>
    <row r="226" spans="3:8" s="96" customFormat="1" ht="12.75">
      <c r="C226" s="123"/>
      <c r="H226" s="131"/>
    </row>
    <row r="227" spans="3:8" s="96" customFormat="1" ht="12.75">
      <c r="C227" s="123"/>
      <c r="H227" s="131"/>
    </row>
    <row r="228" spans="3:8" s="96" customFormat="1" ht="12.75">
      <c r="C228" s="123"/>
      <c r="H228" s="131"/>
    </row>
    <row r="229" spans="3:8" s="96" customFormat="1" ht="12.75">
      <c r="C229" s="123"/>
      <c r="H229" s="131"/>
    </row>
    <row r="230" spans="3:8" s="96" customFormat="1" ht="12.75">
      <c r="C230" s="123"/>
      <c r="H230" s="131"/>
    </row>
    <row r="231" spans="3:8" s="96" customFormat="1" ht="12.75">
      <c r="C231" s="123"/>
      <c r="H231" s="131"/>
    </row>
    <row r="232" spans="3:8" s="96" customFormat="1" ht="12.75">
      <c r="C232" s="123"/>
      <c r="H232" s="131"/>
    </row>
    <row r="233" spans="3:8" s="96" customFormat="1" ht="12.75">
      <c r="C233" s="123"/>
      <c r="H233" s="131"/>
    </row>
    <row r="234" spans="3:8" s="96" customFormat="1" ht="12.75">
      <c r="C234" s="123"/>
      <c r="H234" s="131"/>
    </row>
    <row r="235" spans="3:8" s="96" customFormat="1" ht="12.75">
      <c r="C235" s="123"/>
      <c r="H235" s="131"/>
    </row>
    <row r="236" spans="3:8" s="96" customFormat="1" ht="12.75">
      <c r="C236" s="123"/>
      <c r="H236" s="131"/>
    </row>
    <row r="237" spans="3:8" s="96" customFormat="1" ht="12.75">
      <c r="C237" s="123"/>
      <c r="H237" s="131"/>
    </row>
    <row r="238" spans="3:8" s="96" customFormat="1" ht="12.75">
      <c r="C238" s="123"/>
      <c r="H238" s="131"/>
    </row>
    <row r="239" spans="3:8" s="96" customFormat="1" ht="12.75">
      <c r="C239" s="123"/>
      <c r="H239" s="131"/>
    </row>
    <row r="240" spans="3:8" s="96" customFormat="1" ht="12.75">
      <c r="C240" s="123"/>
      <c r="H240" s="131"/>
    </row>
    <row r="241" spans="3:8" s="96" customFormat="1" ht="12.75">
      <c r="C241" s="123"/>
      <c r="H241" s="131"/>
    </row>
    <row r="242" spans="3:8" s="96" customFormat="1" ht="12.75">
      <c r="C242" s="123"/>
      <c r="H242" s="131"/>
    </row>
    <row r="243" spans="3:8" s="96" customFormat="1" ht="12.75">
      <c r="C243" s="123"/>
      <c r="H243" s="131"/>
    </row>
    <row r="244" spans="3:8" s="96" customFormat="1" ht="12.75">
      <c r="C244" s="123"/>
      <c r="H244" s="131"/>
    </row>
    <row r="245" spans="3:8" s="96" customFormat="1" ht="12.75">
      <c r="C245" s="123"/>
      <c r="H245" s="131"/>
    </row>
    <row r="246" spans="3:8" s="96" customFormat="1" ht="12.75">
      <c r="C246" s="123"/>
      <c r="H246" s="131"/>
    </row>
    <row r="247" spans="3:8" s="96" customFormat="1" ht="12.75">
      <c r="C247" s="123"/>
      <c r="H247" s="131"/>
    </row>
    <row r="248" spans="3:8" s="96" customFormat="1" ht="12.75">
      <c r="C248" s="123"/>
      <c r="H248" s="131"/>
    </row>
    <row r="249" spans="3:8" s="96" customFormat="1" ht="12.75">
      <c r="C249" s="123"/>
      <c r="H249" s="131"/>
    </row>
    <row r="250" spans="3:8" s="96" customFormat="1" ht="12.75">
      <c r="C250" s="123"/>
      <c r="H250" s="131"/>
    </row>
    <row r="251" spans="3:8" s="96" customFormat="1" ht="12.75">
      <c r="C251" s="123"/>
      <c r="H251" s="131"/>
    </row>
    <row r="252" spans="3:8" s="96" customFormat="1" ht="12.75">
      <c r="C252" s="123"/>
      <c r="H252" s="131"/>
    </row>
    <row r="253" spans="3:8" s="96" customFormat="1" ht="12.75">
      <c r="C253" s="123"/>
      <c r="H253" s="131"/>
    </row>
    <row r="254" spans="3:8" s="96" customFormat="1" ht="12.75">
      <c r="C254" s="123"/>
      <c r="H254" s="131"/>
    </row>
    <row r="255" spans="3:8" s="96" customFormat="1" ht="12.75">
      <c r="C255" s="123"/>
      <c r="H255" s="131"/>
    </row>
    <row r="256" spans="3:8" s="96" customFormat="1" ht="12.75">
      <c r="C256" s="123"/>
      <c r="H256" s="131"/>
    </row>
    <row r="257" spans="3:8" s="96" customFormat="1" ht="12.75">
      <c r="C257" s="123"/>
      <c r="H257" s="131"/>
    </row>
    <row r="258" spans="3:8" s="96" customFormat="1" ht="12.75">
      <c r="C258" s="123"/>
      <c r="H258" s="131"/>
    </row>
    <row r="259" spans="3:8" s="96" customFormat="1" ht="12.75">
      <c r="C259" s="123"/>
      <c r="H259" s="131"/>
    </row>
    <row r="260" spans="3:8" s="96" customFormat="1" ht="12.75">
      <c r="C260" s="123"/>
      <c r="H260" s="131"/>
    </row>
    <row r="261" spans="3:8" s="96" customFormat="1" ht="12.75">
      <c r="C261" s="123"/>
      <c r="H261" s="131"/>
    </row>
    <row r="262" spans="3:8" s="96" customFormat="1" ht="12.75">
      <c r="C262" s="123"/>
      <c r="H262" s="131"/>
    </row>
    <row r="263" spans="3:8" s="96" customFormat="1" ht="12.75">
      <c r="C263" s="123"/>
      <c r="H263" s="131"/>
    </row>
    <row r="264" spans="3:8" s="96" customFormat="1" ht="12.75">
      <c r="C264" s="123"/>
      <c r="H264" s="131"/>
    </row>
    <row r="265" spans="3:8" s="96" customFormat="1" ht="12.75">
      <c r="C265" s="123"/>
      <c r="H265" s="131"/>
    </row>
    <row r="266" spans="3:8" s="96" customFormat="1" ht="12.75">
      <c r="C266" s="123"/>
      <c r="H266" s="131"/>
    </row>
    <row r="267" spans="3:8" s="96" customFormat="1" ht="12.75">
      <c r="C267" s="123"/>
      <c r="H267" s="131"/>
    </row>
    <row r="268" spans="3:8" s="96" customFormat="1" ht="12.75">
      <c r="C268" s="123"/>
      <c r="H268" s="131"/>
    </row>
    <row r="269" spans="3:8" s="96" customFormat="1" ht="12.75">
      <c r="C269" s="123"/>
      <c r="H269" s="131"/>
    </row>
    <row r="270" spans="3:8" s="96" customFormat="1" ht="12.75">
      <c r="C270" s="123"/>
      <c r="H270" s="131"/>
    </row>
    <row r="271" spans="3:8" s="96" customFormat="1" ht="12.75">
      <c r="C271" s="123"/>
      <c r="H271" s="131"/>
    </row>
    <row r="272" spans="3:8" s="96" customFormat="1" ht="12.75">
      <c r="C272" s="123"/>
      <c r="H272" s="131"/>
    </row>
    <row r="273" spans="3:8" s="96" customFormat="1" ht="12.75">
      <c r="C273" s="123"/>
      <c r="H273" s="131"/>
    </row>
    <row r="274" spans="3:8" s="96" customFormat="1" ht="12.75">
      <c r="C274" s="123"/>
      <c r="H274" s="131"/>
    </row>
    <row r="275" spans="3:8" s="96" customFormat="1" ht="12.75">
      <c r="C275" s="123"/>
      <c r="H275" s="131"/>
    </row>
    <row r="276" spans="3:8" s="96" customFormat="1" ht="12.75">
      <c r="C276" s="123"/>
      <c r="H276" s="131"/>
    </row>
    <row r="277" spans="3:8" s="96" customFormat="1" ht="12.75">
      <c r="C277" s="123"/>
      <c r="H277" s="131"/>
    </row>
    <row r="278" spans="3:8" s="96" customFormat="1" ht="12.75">
      <c r="C278" s="123"/>
      <c r="H278" s="131"/>
    </row>
    <row r="279" spans="3:8" s="96" customFormat="1" ht="12.75">
      <c r="C279" s="123"/>
      <c r="H279" s="131"/>
    </row>
    <row r="280" spans="3:8" s="96" customFormat="1" ht="12.75">
      <c r="C280" s="123"/>
      <c r="H280" s="131"/>
    </row>
    <row r="281" spans="3:8" s="96" customFormat="1" ht="12.75">
      <c r="C281" s="123"/>
      <c r="H281" s="131"/>
    </row>
    <row r="282" spans="3:8" s="96" customFormat="1" ht="12.75">
      <c r="C282" s="123"/>
      <c r="H282" s="131"/>
    </row>
    <row r="283" spans="3:8" s="96" customFormat="1" ht="12.75">
      <c r="C283" s="123"/>
      <c r="H283" s="131"/>
    </row>
    <row r="284" spans="3:8" s="96" customFormat="1" ht="12.75">
      <c r="C284" s="123"/>
      <c r="H284" s="131"/>
    </row>
    <row r="285" spans="3:8" s="96" customFormat="1" ht="12.75">
      <c r="C285" s="123"/>
      <c r="H285" s="131"/>
    </row>
    <row r="286" spans="3:8" s="96" customFormat="1" ht="12.75">
      <c r="C286" s="123"/>
      <c r="H286" s="131"/>
    </row>
    <row r="287" spans="3:8" s="96" customFormat="1" ht="12.75">
      <c r="C287" s="123"/>
      <c r="H287" s="131"/>
    </row>
    <row r="288" spans="3:8" s="96" customFormat="1" ht="12.75">
      <c r="C288" s="123"/>
      <c r="H288" s="131"/>
    </row>
    <row r="289" spans="3:8" s="96" customFormat="1" ht="12.75">
      <c r="C289" s="123"/>
      <c r="H289" s="131"/>
    </row>
    <row r="290" spans="3:8" s="96" customFormat="1" ht="12.75">
      <c r="C290" s="123"/>
      <c r="H290" s="131"/>
    </row>
    <row r="291" spans="3:8" s="96" customFormat="1" ht="12.75">
      <c r="C291" s="123"/>
      <c r="H291" s="131"/>
    </row>
    <row r="292" spans="3:8" s="96" customFormat="1" ht="12.75">
      <c r="C292" s="123"/>
      <c r="H292" s="131"/>
    </row>
    <row r="293" spans="3:8" s="96" customFormat="1" ht="12.75">
      <c r="C293" s="123"/>
      <c r="H293" s="131"/>
    </row>
    <row r="294" spans="3:8" s="96" customFormat="1" ht="12.75">
      <c r="C294" s="123"/>
      <c r="H294" s="131"/>
    </row>
    <row r="295" spans="3:8" s="96" customFormat="1" ht="12.75">
      <c r="C295" s="123"/>
      <c r="H295" s="131"/>
    </row>
    <row r="296" spans="3:8" s="96" customFormat="1" ht="12.75">
      <c r="C296" s="123"/>
      <c r="H296" s="131"/>
    </row>
    <row r="297" spans="3:8" s="96" customFormat="1" ht="12.75">
      <c r="C297" s="123"/>
      <c r="H297" s="131"/>
    </row>
    <row r="298" spans="3:8" s="96" customFormat="1" ht="12.75">
      <c r="C298" s="123"/>
      <c r="H298" s="131"/>
    </row>
    <row r="299" spans="3:8" s="96" customFormat="1" ht="12.75">
      <c r="C299" s="123"/>
      <c r="H299" s="131"/>
    </row>
    <row r="300" spans="3:8" s="96" customFormat="1" ht="12.75">
      <c r="C300" s="123"/>
      <c r="H300" s="131"/>
    </row>
    <row r="301" spans="3:8" s="96" customFormat="1" ht="12.75">
      <c r="C301" s="123"/>
      <c r="H301" s="131"/>
    </row>
    <row r="302" spans="3:8" s="96" customFormat="1" ht="12.75">
      <c r="C302" s="123"/>
      <c r="H302" s="131"/>
    </row>
    <row r="303" spans="3:8" s="96" customFormat="1" ht="12.75">
      <c r="C303" s="123"/>
      <c r="H303" s="131"/>
    </row>
    <row r="304" spans="3:8" s="96" customFormat="1" ht="12.75">
      <c r="C304" s="123"/>
      <c r="H304" s="131"/>
    </row>
    <row r="305" spans="3:8" s="96" customFormat="1" ht="12.75">
      <c r="C305" s="123"/>
      <c r="H305" s="131"/>
    </row>
    <row r="306" spans="3:8" s="96" customFormat="1" ht="12.75">
      <c r="C306" s="123"/>
      <c r="H306" s="131"/>
    </row>
    <row r="307" spans="3:8" s="96" customFormat="1" ht="12.75">
      <c r="C307" s="123"/>
      <c r="H307" s="131"/>
    </row>
    <row r="308" spans="3:8" s="96" customFormat="1" ht="12.75">
      <c r="C308" s="123"/>
      <c r="H308" s="131"/>
    </row>
  </sheetData>
  <sheetProtection password="CDB2" sheet="1" objects="1" scenarios="1" selectLockedCells="1"/>
  <mergeCells count="7">
    <mergeCell ref="A1:F1"/>
    <mergeCell ref="A2:F2"/>
    <mergeCell ref="A34:H34"/>
    <mergeCell ref="A90:H90"/>
    <mergeCell ref="A61:H61"/>
    <mergeCell ref="A4:F4"/>
    <mergeCell ref="A6:F6"/>
  </mergeCells>
  <printOptions horizontalCentered="1"/>
  <pageMargins left="0.75" right="0.75" top="1" bottom="1" header="0.5" footer="0.5"/>
  <pageSetup horizontalDpi="600" verticalDpi="600" orientation="landscape" r:id="rId1"/>
  <rowBreaks count="3" manualBreakCount="3">
    <brk id="33" max="255" man="1"/>
    <brk id="60" max="255" man="1"/>
    <brk id="8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zoomScale="85" zoomScaleNormal="85" workbookViewId="0" topLeftCell="A1">
      <selection activeCell="I8" sqref="I8"/>
    </sheetView>
  </sheetViews>
  <sheetFormatPr defaultColWidth="9.140625" defaultRowHeight="12.75"/>
  <cols>
    <col min="1" max="1" width="16.421875" style="262" customWidth="1"/>
    <col min="2" max="2" width="13.421875" style="263" bestFit="1" customWidth="1"/>
    <col min="3" max="3" width="9.140625" style="263" bestFit="1" customWidth="1"/>
    <col min="4" max="13" width="10.140625" style="263" bestFit="1" customWidth="1"/>
    <col min="14" max="14" width="14.140625" style="264" bestFit="1" customWidth="1"/>
    <col min="15" max="15" width="10.140625" style="265" customWidth="1"/>
    <col min="16" max="16" width="8.7109375" style="127" hidden="1" customWidth="1"/>
    <col min="17" max="21" width="0" style="127" hidden="1" customWidth="1"/>
    <col min="22" max="16384" width="9.140625" style="127" customWidth="1"/>
  </cols>
  <sheetData>
    <row r="1" spans="1:14" s="96" customFormat="1" ht="12.75">
      <c r="A1" s="313" t="s">
        <v>235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="96" customFormat="1" ht="12.75"/>
    <row r="3" spans="1:14" s="96" customFormat="1" ht="12.75">
      <c r="A3" s="313" t="s">
        <v>189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</row>
    <row r="4" spans="1:15" s="96" customFormat="1" ht="12.75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</row>
    <row r="5" spans="1:20" s="96" customFormat="1" ht="12.75">
      <c r="A5" s="124"/>
      <c r="B5" s="152" t="s">
        <v>26</v>
      </c>
      <c r="C5" s="152" t="s">
        <v>27</v>
      </c>
      <c r="D5" s="152" t="s">
        <v>28</v>
      </c>
      <c r="E5" s="152" t="s">
        <v>29</v>
      </c>
      <c r="F5" s="152" t="s">
        <v>30</v>
      </c>
      <c r="G5" s="152" t="s">
        <v>31</v>
      </c>
      <c r="H5" s="152" t="s">
        <v>32</v>
      </c>
      <c r="I5" s="152" t="s">
        <v>33</v>
      </c>
      <c r="J5" s="152" t="s">
        <v>34</v>
      </c>
      <c r="K5" s="152" t="s">
        <v>35</v>
      </c>
      <c r="L5" s="152" t="s">
        <v>36</v>
      </c>
      <c r="M5" s="152" t="s">
        <v>37</v>
      </c>
      <c r="N5" s="124" t="s">
        <v>22</v>
      </c>
      <c r="O5" s="156"/>
      <c r="Q5" s="96" t="s">
        <v>129</v>
      </c>
      <c r="R5" s="96" t="s">
        <v>130</v>
      </c>
      <c r="S5" s="96" t="s">
        <v>131</v>
      </c>
      <c r="T5" s="157" t="s">
        <v>132</v>
      </c>
    </row>
    <row r="6" spans="1:21" ht="12.75">
      <c r="A6" s="133" t="s">
        <v>19</v>
      </c>
      <c r="B6" s="154">
        <v>317.2</v>
      </c>
      <c r="C6" s="154">
        <v>178.03</v>
      </c>
      <c r="D6" s="154">
        <v>376.25</v>
      </c>
      <c r="E6" s="154">
        <v>327.05</v>
      </c>
      <c r="F6" s="154">
        <v>167.94</v>
      </c>
      <c r="G6" s="154">
        <v>0</v>
      </c>
      <c r="H6" s="154">
        <v>0</v>
      </c>
      <c r="I6" s="154"/>
      <c r="J6" s="154"/>
      <c r="K6" s="154"/>
      <c r="L6" s="155"/>
      <c r="M6" s="155"/>
      <c r="N6" s="297">
        <f>SUM(B6:M6)</f>
        <v>1366.47</v>
      </c>
      <c r="O6" s="255"/>
      <c r="P6" s="256">
        <f>O6/2</f>
        <v>0</v>
      </c>
      <c r="Q6" s="257">
        <f>(M6+B6+C6)/N6</f>
        <v>0.36241556711819506</v>
      </c>
      <c r="R6" s="257">
        <f>(D6+E6+F6)/N6</f>
        <v>0.6375844328818049</v>
      </c>
      <c r="S6" s="257">
        <f>(G6+H6+I6)/N6</f>
        <v>0</v>
      </c>
      <c r="T6" s="257">
        <f>(J6+K6+L6)/N6</f>
        <v>0</v>
      </c>
      <c r="U6" s="257">
        <f>SUM(Q6:T6)</f>
        <v>1</v>
      </c>
    </row>
    <row r="7" spans="1:21" ht="12.75">
      <c r="A7" s="133" t="s">
        <v>20</v>
      </c>
      <c r="B7" s="154">
        <v>328.46</v>
      </c>
      <c r="C7" s="154">
        <v>281.6</v>
      </c>
      <c r="D7" s="154">
        <v>407.26</v>
      </c>
      <c r="E7" s="154">
        <v>428.57</v>
      </c>
      <c r="F7" s="154">
        <v>415.65</v>
      </c>
      <c r="G7" s="154">
        <v>506.6</v>
      </c>
      <c r="H7" s="154">
        <v>509.06</v>
      </c>
      <c r="I7" s="154">
        <v>433.34</v>
      </c>
      <c r="J7" s="154"/>
      <c r="K7" s="154"/>
      <c r="L7" s="155"/>
      <c r="M7" s="155"/>
      <c r="N7" s="298">
        <f>SUM(B7:M7)</f>
        <v>3310.54</v>
      </c>
      <c r="O7" s="255"/>
      <c r="P7" s="256">
        <f>O7/2</f>
        <v>0</v>
      </c>
      <c r="Q7" s="257">
        <f>(M7+B7+C7)/N7</f>
        <v>0.18427809360406458</v>
      </c>
      <c r="R7" s="257">
        <f>(D7+E7+F7)/N7</f>
        <v>0.37802896204244624</v>
      </c>
      <c r="S7" s="257">
        <f>(G7+H7+I7)/N7</f>
        <v>0.43769294435348916</v>
      </c>
      <c r="T7" s="257">
        <f>(J7+K7+L7)/N7</f>
        <v>0</v>
      </c>
      <c r="U7" s="257">
        <f>SUM(Q7:T7)</f>
        <v>1</v>
      </c>
    </row>
    <row r="8" spans="1:21" ht="12.75">
      <c r="A8" s="134" t="s">
        <v>21</v>
      </c>
      <c r="B8" s="154">
        <v>237.04</v>
      </c>
      <c r="C8" s="154">
        <v>89.69</v>
      </c>
      <c r="D8" s="154">
        <v>323.7</v>
      </c>
      <c r="E8" s="154">
        <v>224.63</v>
      </c>
      <c r="F8" s="154">
        <v>258.49</v>
      </c>
      <c r="G8" s="154">
        <v>493.44</v>
      </c>
      <c r="H8" s="154">
        <v>440.82</v>
      </c>
      <c r="I8" s="154">
        <v>325.71</v>
      </c>
      <c r="J8" s="154"/>
      <c r="K8" s="154"/>
      <c r="L8" s="155"/>
      <c r="M8" s="155"/>
      <c r="N8" s="297">
        <f>SUM(B8:M8)</f>
        <v>2393.5200000000004</v>
      </c>
      <c r="O8" s="255"/>
      <c r="P8" s="256">
        <f>O8/2</f>
        <v>0</v>
      </c>
      <c r="Q8" s="257">
        <f>(M8+B8+C8)/N8</f>
        <v>0.13650606637922388</v>
      </c>
      <c r="R8" s="257">
        <f>(D8+E8+F8)/N8</f>
        <v>0.3370851298505965</v>
      </c>
      <c r="S8" s="257">
        <f>(G8+H8+I8)/N8</f>
        <v>0.5264088037701794</v>
      </c>
      <c r="T8" s="257">
        <f>(J8+K8+L8)/N8</f>
        <v>0</v>
      </c>
      <c r="U8" s="257">
        <f>SUM(Q8:T8)</f>
        <v>0.9999999999999998</v>
      </c>
    </row>
    <row r="9" spans="1:15" s="230" customFormat="1" ht="12.75">
      <c r="A9" s="258"/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60"/>
      <c r="O9" s="261"/>
    </row>
    <row r="10" spans="1:15" s="230" customFormat="1" ht="12.75">
      <c r="A10" s="258"/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60"/>
      <c r="O10" s="261"/>
    </row>
    <row r="11" spans="1:15" s="230" customFormat="1" ht="12.75">
      <c r="A11" s="258"/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60"/>
      <c r="O11" s="261"/>
    </row>
  </sheetData>
  <sheetProtection password="CDB2" sheet="1" objects="1" scenarios="1" selectLockedCells="1"/>
  <mergeCells count="2">
    <mergeCell ref="A1:N1"/>
    <mergeCell ref="A3:N3"/>
  </mergeCells>
  <printOptions gridLines="1"/>
  <pageMargins left="0.25" right="0.25" top="0.75" bottom="0.75" header="0.5" footer="0.5"/>
  <pageSetup fitToHeight="1" fitToWidth="1" horizontalDpi="300" verticalDpi="300" orientation="landscape" pageOrder="overThenDown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workbookViewId="0" topLeftCell="A1">
      <selection activeCell="J8" sqref="J8"/>
    </sheetView>
  </sheetViews>
  <sheetFormatPr defaultColWidth="9.140625" defaultRowHeight="12.75"/>
  <cols>
    <col min="1" max="1" width="30.00390625" style="127" customWidth="1"/>
    <col min="2" max="2" width="10.28125" style="127" customWidth="1"/>
    <col min="3" max="5" width="10.140625" style="127" customWidth="1"/>
    <col min="6" max="6" width="9.421875" style="127" customWidth="1"/>
    <col min="7" max="7" width="10.140625" style="127" customWidth="1"/>
    <col min="8" max="8" width="9.8515625" style="127" customWidth="1"/>
    <col min="9" max="9" width="9.421875" style="127" customWidth="1"/>
    <col min="10" max="10" width="9.57421875" style="127" customWidth="1"/>
    <col min="11" max="11" width="9.7109375" style="127" customWidth="1"/>
    <col min="12" max="12" width="9.57421875" style="127" customWidth="1"/>
    <col min="13" max="13" width="10.140625" style="127" customWidth="1"/>
    <col min="14" max="14" width="9.140625" style="127" customWidth="1"/>
    <col min="15" max="17" width="0" style="127" hidden="1" customWidth="1"/>
    <col min="18" max="16384" width="9.140625" style="127" customWidth="1"/>
  </cols>
  <sheetData>
    <row r="1" spans="1:13" s="96" customFormat="1" ht="12.75">
      <c r="A1" s="302" t="s">
        <v>180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</row>
    <row r="2" spans="1:13" s="96" customFormat="1" ht="12.75">
      <c r="A2" s="302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</row>
    <row r="3" s="96" customFormat="1" ht="13.5" thickBot="1"/>
    <row r="4" spans="1:13" s="96" customFormat="1" ht="14.25" customHeight="1">
      <c r="A4" s="314" t="s">
        <v>190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6"/>
    </row>
    <row r="5" spans="1:13" s="96" customFormat="1" ht="14.25" customHeight="1" thickBot="1">
      <c r="A5" s="317"/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9"/>
    </row>
    <row r="6" spans="1:13" s="96" customFormat="1" ht="12" customHeight="1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</row>
    <row r="7" spans="1:13" s="96" customFormat="1" ht="12.75">
      <c r="A7" s="124" t="s">
        <v>106</v>
      </c>
      <c r="B7" s="152" t="s">
        <v>26</v>
      </c>
      <c r="C7" s="152" t="s">
        <v>27</v>
      </c>
      <c r="D7" s="152" t="s">
        <v>28</v>
      </c>
      <c r="E7" s="152" t="s">
        <v>29</v>
      </c>
      <c r="F7" s="152" t="s">
        <v>30</v>
      </c>
      <c r="G7" s="152" t="s">
        <v>31</v>
      </c>
      <c r="H7" s="152" t="s">
        <v>32</v>
      </c>
      <c r="I7" s="152" t="s">
        <v>33</v>
      </c>
      <c r="J7" s="152" t="s">
        <v>34</v>
      </c>
      <c r="K7" s="152" t="s">
        <v>35</v>
      </c>
      <c r="L7" s="152" t="s">
        <v>36</v>
      </c>
      <c r="M7" s="152" t="s">
        <v>37</v>
      </c>
    </row>
    <row r="8" spans="1:14" s="251" customFormat="1" ht="12.75">
      <c r="A8" s="254" t="s">
        <v>107</v>
      </c>
      <c r="B8" s="143">
        <v>116</v>
      </c>
      <c r="C8" s="143">
        <v>130.7</v>
      </c>
      <c r="D8" s="143">
        <v>277.6</v>
      </c>
      <c r="E8" s="143">
        <v>166.9</v>
      </c>
      <c r="F8" s="143">
        <v>120.2</v>
      </c>
      <c r="G8" s="143">
        <v>271.13</v>
      </c>
      <c r="H8" s="143">
        <v>326</v>
      </c>
      <c r="I8" s="143">
        <v>219.3</v>
      </c>
      <c r="J8" s="143"/>
      <c r="K8" s="143"/>
      <c r="L8" s="143"/>
      <c r="M8" s="143"/>
      <c r="N8" s="251">
        <f>SUM(B8:M8)</f>
        <v>1627.83</v>
      </c>
    </row>
    <row r="9" s="96" customFormat="1" ht="13.5" thickBot="1"/>
    <row r="10" spans="1:13" s="96" customFormat="1" ht="12.75">
      <c r="A10" s="314" t="s">
        <v>191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6"/>
    </row>
    <row r="11" spans="1:13" s="96" customFormat="1" ht="15.75" customHeight="1" thickBot="1">
      <c r="A11" s="317"/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9"/>
    </row>
    <row r="12" s="96" customFormat="1" ht="12.75"/>
    <row r="13" spans="1:13" s="96" customFormat="1" ht="12.75">
      <c r="A13" s="124" t="s">
        <v>109</v>
      </c>
      <c r="B13" s="152" t="str">
        <f>B7</f>
        <v>JAN</v>
      </c>
      <c r="C13" s="152" t="str">
        <f aca="true" t="shared" si="0" ref="C13:M13">C7</f>
        <v>FEB</v>
      </c>
      <c r="D13" s="152" t="str">
        <f t="shared" si="0"/>
        <v>MAR</v>
      </c>
      <c r="E13" s="152" t="str">
        <f t="shared" si="0"/>
        <v>APR</v>
      </c>
      <c r="F13" s="152" t="str">
        <f t="shared" si="0"/>
        <v>MAY</v>
      </c>
      <c r="G13" s="152" t="str">
        <f t="shared" si="0"/>
        <v>JUN</v>
      </c>
      <c r="H13" s="152" t="str">
        <f t="shared" si="0"/>
        <v>JUL</v>
      </c>
      <c r="I13" s="152" t="str">
        <f t="shared" si="0"/>
        <v>AUG</v>
      </c>
      <c r="J13" s="152" t="str">
        <f t="shared" si="0"/>
        <v>SEP</v>
      </c>
      <c r="K13" s="152" t="str">
        <f t="shared" si="0"/>
        <v>OCT</v>
      </c>
      <c r="L13" s="152" t="str">
        <f t="shared" si="0"/>
        <v>NOV</v>
      </c>
      <c r="M13" s="152" t="str">
        <f t="shared" si="0"/>
        <v>DEC</v>
      </c>
    </row>
    <row r="14" spans="1:14" ht="12.75">
      <c r="A14" s="129" t="s">
        <v>115</v>
      </c>
      <c r="B14" s="143">
        <v>25</v>
      </c>
      <c r="C14" s="143">
        <v>30</v>
      </c>
      <c r="D14" s="143">
        <v>45</v>
      </c>
      <c r="E14" s="143">
        <v>30</v>
      </c>
      <c r="F14" s="143">
        <v>25</v>
      </c>
      <c r="G14" s="143">
        <v>40</v>
      </c>
      <c r="H14" s="143">
        <v>55</v>
      </c>
      <c r="I14" s="143"/>
      <c r="J14" s="143"/>
      <c r="K14" s="143"/>
      <c r="L14" s="143"/>
      <c r="M14" s="143"/>
      <c r="N14" s="127">
        <f>SUM(B14:M14)</f>
        <v>250</v>
      </c>
    </row>
    <row r="15" spans="1:13" s="96" customFormat="1" ht="12.75">
      <c r="A15" s="106" t="s">
        <v>117</v>
      </c>
      <c r="B15" s="125">
        <f aca="true" t="shared" si="1" ref="B15:M15">B14*$B$50</f>
        <v>222.91666666666669</v>
      </c>
      <c r="C15" s="125">
        <f t="shared" si="1"/>
        <v>267.50000000000006</v>
      </c>
      <c r="D15" s="125">
        <f t="shared" si="1"/>
        <v>401.25000000000006</v>
      </c>
      <c r="E15" s="125">
        <f t="shared" si="1"/>
        <v>267.50000000000006</v>
      </c>
      <c r="F15" s="125">
        <f t="shared" si="1"/>
        <v>222.91666666666669</v>
      </c>
      <c r="G15" s="125">
        <f t="shared" si="1"/>
        <v>356.66666666666674</v>
      </c>
      <c r="H15" s="125">
        <f t="shared" si="1"/>
        <v>490.41666666666674</v>
      </c>
      <c r="I15" s="125">
        <f t="shared" si="1"/>
        <v>0</v>
      </c>
      <c r="J15" s="125">
        <f t="shared" si="1"/>
        <v>0</v>
      </c>
      <c r="K15" s="125">
        <f t="shared" si="1"/>
        <v>0</v>
      </c>
      <c r="L15" s="125">
        <f t="shared" si="1"/>
        <v>0</v>
      </c>
      <c r="M15" s="125">
        <f t="shared" si="1"/>
        <v>0</v>
      </c>
    </row>
    <row r="16" spans="1:14" ht="12.75">
      <c r="A16" s="129" t="s">
        <v>116</v>
      </c>
      <c r="B16" s="143">
        <v>30</v>
      </c>
      <c r="C16" s="143">
        <v>35</v>
      </c>
      <c r="D16" s="143">
        <v>50</v>
      </c>
      <c r="E16" s="143">
        <v>35</v>
      </c>
      <c r="F16" s="143">
        <v>30</v>
      </c>
      <c r="G16" s="143">
        <v>50</v>
      </c>
      <c r="H16" s="143">
        <v>60</v>
      </c>
      <c r="I16" s="143"/>
      <c r="J16" s="143"/>
      <c r="K16" s="143"/>
      <c r="L16" s="143"/>
      <c r="M16" s="143"/>
      <c r="N16" s="127">
        <f>SUM(B16:M16)</f>
        <v>290</v>
      </c>
    </row>
    <row r="17" spans="1:13" s="96" customFormat="1" ht="12.75">
      <c r="A17" s="106" t="s">
        <v>118</v>
      </c>
      <c r="B17" s="125">
        <f aca="true" t="shared" si="2" ref="B17:M17">B16*$B$51</f>
        <v>240</v>
      </c>
      <c r="C17" s="125">
        <f t="shared" si="2"/>
        <v>280</v>
      </c>
      <c r="D17" s="125">
        <f t="shared" si="2"/>
        <v>400</v>
      </c>
      <c r="E17" s="125">
        <f t="shared" si="2"/>
        <v>280</v>
      </c>
      <c r="F17" s="125">
        <f t="shared" si="2"/>
        <v>240</v>
      </c>
      <c r="G17" s="125">
        <f t="shared" si="2"/>
        <v>400</v>
      </c>
      <c r="H17" s="125">
        <f t="shared" si="2"/>
        <v>480</v>
      </c>
      <c r="I17" s="125">
        <f t="shared" si="2"/>
        <v>0</v>
      </c>
      <c r="J17" s="125">
        <f t="shared" si="2"/>
        <v>0</v>
      </c>
      <c r="K17" s="125">
        <f t="shared" si="2"/>
        <v>0</v>
      </c>
      <c r="L17" s="125">
        <f t="shared" si="2"/>
        <v>0</v>
      </c>
      <c r="M17" s="125">
        <f t="shared" si="2"/>
        <v>0</v>
      </c>
    </row>
    <row r="18" spans="1:18" ht="12.75">
      <c r="A18" s="129" t="s">
        <v>135</v>
      </c>
      <c r="B18" s="143">
        <v>25</v>
      </c>
      <c r="C18" s="143">
        <v>30</v>
      </c>
      <c r="D18" s="143">
        <v>40</v>
      </c>
      <c r="E18" s="143">
        <v>25</v>
      </c>
      <c r="F18" s="143">
        <v>25</v>
      </c>
      <c r="G18" s="143">
        <v>30</v>
      </c>
      <c r="H18" s="143">
        <v>40</v>
      </c>
      <c r="I18" s="143"/>
      <c r="J18" s="143"/>
      <c r="K18" s="143"/>
      <c r="L18" s="143"/>
      <c r="M18" s="143"/>
      <c r="N18" s="127">
        <f>SUM(B18:M18)</f>
        <v>215</v>
      </c>
      <c r="R18" s="127">
        <f>N18+'INPUT 1 - 2010 MATERIAL USAGE'!N8+'INPUT 1 - 2010 MATERIAL USAGE'!N9</f>
        <v>2275</v>
      </c>
    </row>
    <row r="19" spans="1:13" s="96" customFormat="1" ht="12.75">
      <c r="A19" s="106" t="s">
        <v>136</v>
      </c>
      <c r="B19" s="125">
        <f>B18*6.926</f>
        <v>173.15</v>
      </c>
      <c r="C19" s="125">
        <f aca="true" t="shared" si="3" ref="C19:L19">C18*6.926</f>
        <v>207.78</v>
      </c>
      <c r="D19" s="125">
        <f t="shared" si="3"/>
        <v>277.04</v>
      </c>
      <c r="E19" s="125">
        <f t="shared" si="3"/>
        <v>173.15</v>
      </c>
      <c r="F19" s="125">
        <f>F18*6.926</f>
        <v>173.15</v>
      </c>
      <c r="G19" s="125">
        <f t="shared" si="3"/>
        <v>207.78</v>
      </c>
      <c r="H19" s="125">
        <f t="shared" si="3"/>
        <v>277.04</v>
      </c>
      <c r="I19" s="125">
        <f t="shared" si="3"/>
        <v>0</v>
      </c>
      <c r="J19" s="125">
        <f t="shared" si="3"/>
        <v>0</v>
      </c>
      <c r="K19" s="125">
        <f t="shared" si="3"/>
        <v>0</v>
      </c>
      <c r="L19" s="125">
        <f t="shared" si="3"/>
        <v>0</v>
      </c>
      <c r="M19" s="125">
        <f>M18*6.926</f>
        <v>0</v>
      </c>
    </row>
    <row r="20" spans="1:19" ht="12.75">
      <c r="A20" s="129" t="s">
        <v>174</v>
      </c>
      <c r="B20" s="143">
        <v>837.6</v>
      </c>
      <c r="C20" s="143">
        <v>473.4</v>
      </c>
      <c r="D20" s="143">
        <v>1792</v>
      </c>
      <c r="E20" s="143">
        <v>1033.4</v>
      </c>
      <c r="F20" s="143">
        <v>662.8</v>
      </c>
      <c r="G20" s="143">
        <v>1115.9</v>
      </c>
      <c r="H20" s="143">
        <v>1770</v>
      </c>
      <c r="I20" s="143">
        <v>804.4</v>
      </c>
      <c r="J20" s="143"/>
      <c r="K20" s="143"/>
      <c r="L20" s="143"/>
      <c r="M20" s="143"/>
      <c r="N20" s="266">
        <f>SUM(B20:M20)</f>
        <v>8489.5</v>
      </c>
      <c r="O20" s="267">
        <f>N20/8.34</f>
        <v>1017.9256594724221</v>
      </c>
      <c r="P20" s="127">
        <f>O20*3/12</f>
        <v>254.48141486810553</v>
      </c>
      <c r="Q20" s="268">
        <f>P20/92</f>
        <v>2.7661023355228864</v>
      </c>
      <c r="S20" s="267">
        <f>(G20+H20+I20)/8.34</f>
        <v>442.48201438848923</v>
      </c>
    </row>
    <row r="21" spans="1:17" ht="12.75">
      <c r="A21" s="129" t="s">
        <v>181</v>
      </c>
      <c r="B21" s="132">
        <v>200</v>
      </c>
      <c r="C21" s="132">
        <v>785</v>
      </c>
      <c r="D21" s="132">
        <v>3500</v>
      </c>
      <c r="E21" s="132">
        <v>400</v>
      </c>
      <c r="F21" s="132">
        <v>300</v>
      </c>
      <c r="G21" s="132">
        <v>2064</v>
      </c>
      <c r="H21" s="132">
        <v>2250</v>
      </c>
      <c r="I21" s="143"/>
      <c r="J21" s="143"/>
      <c r="K21" s="143"/>
      <c r="L21" s="143"/>
      <c r="M21" s="143"/>
      <c r="N21" s="266">
        <f>SUM(B21:M21)</f>
        <v>9499</v>
      </c>
      <c r="O21" s="267"/>
      <c r="Q21" s="268"/>
    </row>
    <row r="22" spans="1:17" s="96" customFormat="1" ht="12.75">
      <c r="A22" s="166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O22" s="164"/>
      <c r="Q22" s="165"/>
    </row>
    <row r="23" s="96" customFormat="1" ht="13.5" thickBot="1"/>
    <row r="24" spans="1:13" s="96" customFormat="1" ht="12.75">
      <c r="A24" s="314" t="s">
        <v>192</v>
      </c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6"/>
    </row>
    <row r="25" spans="1:13" s="96" customFormat="1" ht="15.75" customHeight="1" thickBot="1">
      <c r="A25" s="317"/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9"/>
    </row>
    <row r="26" spans="1:13" s="96" customFormat="1" ht="13.5" customHeight="1">
      <c r="A26" s="136"/>
      <c r="B26" s="321" t="s">
        <v>66</v>
      </c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</row>
    <row r="27" spans="1:13" s="96" customFormat="1" ht="15.75">
      <c r="A27" s="137"/>
      <c r="B27" s="138" t="str">
        <f>B13</f>
        <v>JAN</v>
      </c>
      <c r="C27" s="138" t="str">
        <f aca="true" t="shared" si="4" ref="C27:M27">C13</f>
        <v>FEB</v>
      </c>
      <c r="D27" s="138" t="str">
        <f t="shared" si="4"/>
        <v>MAR</v>
      </c>
      <c r="E27" s="138" t="str">
        <f t="shared" si="4"/>
        <v>APR</v>
      </c>
      <c r="F27" s="138" t="str">
        <f t="shared" si="4"/>
        <v>MAY</v>
      </c>
      <c r="G27" s="138" t="str">
        <f t="shared" si="4"/>
        <v>JUN</v>
      </c>
      <c r="H27" s="138" t="str">
        <f t="shared" si="4"/>
        <v>JUL</v>
      </c>
      <c r="I27" s="138" t="str">
        <f t="shared" si="4"/>
        <v>AUG</v>
      </c>
      <c r="J27" s="138" t="str">
        <f t="shared" si="4"/>
        <v>SEP</v>
      </c>
      <c r="K27" s="138" t="str">
        <f t="shared" si="4"/>
        <v>OCT</v>
      </c>
      <c r="L27" s="138" t="str">
        <f t="shared" si="4"/>
        <v>NOV</v>
      </c>
      <c r="M27" s="138" t="str">
        <f t="shared" si="4"/>
        <v>DEC</v>
      </c>
    </row>
    <row r="28" spans="1:14" s="96" customFormat="1" ht="12.75">
      <c r="A28" s="106" t="s">
        <v>122</v>
      </c>
      <c r="B28" s="130">
        <f>2.17*B14/2000</f>
        <v>0.027125</v>
      </c>
      <c r="C28" s="130">
        <f aca="true" t="shared" si="5" ref="C28:H28">C14*2.17/2000</f>
        <v>0.032549999999999996</v>
      </c>
      <c r="D28" s="130">
        <f t="shared" si="5"/>
        <v>0.04882499999999999</v>
      </c>
      <c r="E28" s="130">
        <f t="shared" si="5"/>
        <v>0.032549999999999996</v>
      </c>
      <c r="F28" s="130">
        <f t="shared" si="5"/>
        <v>0.027125</v>
      </c>
      <c r="G28" s="130">
        <f t="shared" si="5"/>
        <v>0.0434</v>
      </c>
      <c r="H28" s="130">
        <f t="shared" si="5"/>
        <v>0.059675</v>
      </c>
      <c r="I28" s="130">
        <f>2.17*I14/2000</f>
        <v>0</v>
      </c>
      <c r="J28" s="130">
        <f>J14*2.17/2000</f>
        <v>0</v>
      </c>
      <c r="K28" s="130">
        <f>K14*2.17/2000</f>
        <v>0</v>
      </c>
      <c r="L28" s="130">
        <f>L14*2.17/2000</f>
        <v>0</v>
      </c>
      <c r="M28" s="130">
        <f>M14*2.17/2000</f>
        <v>0</v>
      </c>
      <c r="N28" s="222">
        <f aca="true" t="shared" si="6" ref="N28:N33">SUM(B28:M28)</f>
        <v>0.27125</v>
      </c>
    </row>
    <row r="29" spans="1:14" s="96" customFormat="1" ht="12.75">
      <c r="A29" s="106" t="s">
        <v>123</v>
      </c>
      <c r="B29" s="130">
        <f>B16*6.51/2000</f>
        <v>0.09764999999999999</v>
      </c>
      <c r="C29" s="130">
        <f>C16*6.51/2000</f>
        <v>0.113925</v>
      </c>
      <c r="D29" s="130">
        <f>D16*6.51/2000</f>
        <v>0.16275</v>
      </c>
      <c r="E29" s="130">
        <f>E16*6.51/2000</f>
        <v>0.113925</v>
      </c>
      <c r="F29" s="130">
        <f>F16*6.51/2000</f>
        <v>0.09764999999999999</v>
      </c>
      <c r="G29" s="130">
        <f>6.51*G16/2000</f>
        <v>0.16275</v>
      </c>
      <c r="H29" s="130">
        <f>6.51*H16/2000</f>
        <v>0.19529999999999997</v>
      </c>
      <c r="I29" s="130">
        <f>6.51*I16/2000</f>
        <v>0</v>
      </c>
      <c r="J29" s="130">
        <f>6.51*J16/2000</f>
        <v>0</v>
      </c>
      <c r="K29" s="130">
        <f>6.51*K16/2000</f>
        <v>0</v>
      </c>
      <c r="L29" s="130">
        <f>L16*6.51/2000</f>
        <v>0</v>
      </c>
      <c r="M29" s="130">
        <f>6.51*M16/2000</f>
        <v>0</v>
      </c>
      <c r="N29" s="222">
        <f t="shared" si="6"/>
        <v>0.9439500000000001</v>
      </c>
    </row>
    <row r="30" spans="1:18" s="96" customFormat="1" ht="12.75">
      <c r="A30" s="106" t="s">
        <v>134</v>
      </c>
      <c r="B30" s="130">
        <f aca="true" t="shared" si="7" ref="B30:M30">B18*$C$53/2000*0.5</f>
        <v>0.040625</v>
      </c>
      <c r="C30" s="130">
        <f t="shared" si="7"/>
        <v>0.04875</v>
      </c>
      <c r="D30" s="130">
        <f t="shared" si="7"/>
        <v>0.065</v>
      </c>
      <c r="E30" s="130">
        <f t="shared" si="7"/>
        <v>0.040625</v>
      </c>
      <c r="F30" s="130">
        <f t="shared" si="7"/>
        <v>0.040625</v>
      </c>
      <c r="G30" s="130">
        <f t="shared" si="7"/>
        <v>0.04875</v>
      </c>
      <c r="H30" s="130">
        <f t="shared" si="7"/>
        <v>0.065</v>
      </c>
      <c r="I30" s="130">
        <f t="shared" si="7"/>
        <v>0</v>
      </c>
      <c r="J30" s="130">
        <f t="shared" si="7"/>
        <v>0</v>
      </c>
      <c r="K30" s="130">
        <f t="shared" si="7"/>
        <v>0</v>
      </c>
      <c r="L30" s="130">
        <f t="shared" si="7"/>
        <v>0</v>
      </c>
      <c r="M30" s="130">
        <f t="shared" si="7"/>
        <v>0</v>
      </c>
      <c r="N30" s="222">
        <f t="shared" si="6"/>
        <v>0.349375</v>
      </c>
      <c r="R30" s="222">
        <f>N30+N29+N28</f>
        <v>1.564575</v>
      </c>
    </row>
    <row r="31" spans="1:14" s="96" customFormat="1" ht="12.75">
      <c r="A31" s="106" t="s">
        <v>108</v>
      </c>
      <c r="B31" s="130">
        <f>B20*0.31*0.05/2000</f>
        <v>0.0064914000000000005</v>
      </c>
      <c r="C31" s="130">
        <f aca="true" t="shared" si="8" ref="C31:M31">C20*0.31*0.05/2000</f>
        <v>0.00366885</v>
      </c>
      <c r="D31" s="130">
        <f t="shared" si="8"/>
        <v>0.013888</v>
      </c>
      <c r="E31" s="130">
        <f t="shared" si="8"/>
        <v>0.008008850000000001</v>
      </c>
      <c r="F31" s="130">
        <f t="shared" si="8"/>
        <v>0.0051367</v>
      </c>
      <c r="G31" s="130">
        <f t="shared" si="8"/>
        <v>0.008648225000000002</v>
      </c>
      <c r="H31" s="130">
        <f t="shared" si="8"/>
        <v>0.0137175</v>
      </c>
      <c r="I31" s="130">
        <f t="shared" si="8"/>
        <v>0.0062341</v>
      </c>
      <c r="J31" s="130">
        <f t="shared" si="8"/>
        <v>0</v>
      </c>
      <c r="K31" s="130">
        <f t="shared" si="8"/>
        <v>0</v>
      </c>
      <c r="L31" s="130">
        <f>L20*0.31*0.05/2000</f>
        <v>0</v>
      </c>
      <c r="M31" s="130">
        <f t="shared" si="8"/>
        <v>0</v>
      </c>
      <c r="N31" s="222">
        <f t="shared" si="6"/>
        <v>0.06579362500000001</v>
      </c>
    </row>
    <row r="32" spans="1:14" s="96" customFormat="1" ht="12.75">
      <c r="A32" s="106" t="s">
        <v>182</v>
      </c>
      <c r="B32" s="130">
        <f aca="true" t="shared" si="9" ref="B32:M32">B21*2.03/100/2000</f>
        <v>0.0020299999999999997</v>
      </c>
      <c r="C32" s="130">
        <f t="shared" si="9"/>
        <v>0.00796775</v>
      </c>
      <c r="D32" s="130">
        <f t="shared" si="9"/>
        <v>0.035525</v>
      </c>
      <c r="E32" s="130">
        <f t="shared" si="9"/>
        <v>0.004059999999999999</v>
      </c>
      <c r="F32" s="130">
        <f t="shared" si="9"/>
        <v>0.0030449999999999995</v>
      </c>
      <c r="G32" s="130">
        <f t="shared" si="9"/>
        <v>0.020949599999999995</v>
      </c>
      <c r="H32" s="130">
        <f t="shared" si="9"/>
        <v>0.0228375</v>
      </c>
      <c r="I32" s="130">
        <f t="shared" si="9"/>
        <v>0</v>
      </c>
      <c r="J32" s="130">
        <f t="shared" si="9"/>
        <v>0</v>
      </c>
      <c r="K32" s="130">
        <f t="shared" si="9"/>
        <v>0</v>
      </c>
      <c r="L32" s="130">
        <f t="shared" si="9"/>
        <v>0</v>
      </c>
      <c r="M32" s="130">
        <f t="shared" si="9"/>
        <v>0</v>
      </c>
      <c r="N32" s="222">
        <f t="shared" si="6"/>
        <v>0.09641485</v>
      </c>
    </row>
    <row r="33" spans="1:14" s="135" customFormat="1" ht="12.75">
      <c r="A33" s="115" t="s">
        <v>124</v>
      </c>
      <c r="B33" s="139">
        <f aca="true" t="shared" si="10" ref="B33:M33">SUM(B28:B32)</f>
        <v>0.1739214</v>
      </c>
      <c r="C33" s="139">
        <f t="shared" si="10"/>
        <v>0.20686159999999998</v>
      </c>
      <c r="D33" s="139">
        <f t="shared" si="10"/>
        <v>0.32598800000000006</v>
      </c>
      <c r="E33" s="139">
        <f t="shared" si="10"/>
        <v>0.19916885</v>
      </c>
      <c r="F33" s="139">
        <f t="shared" si="10"/>
        <v>0.17358169999999998</v>
      </c>
      <c r="G33" s="139">
        <f t="shared" si="10"/>
        <v>0.28449782500000004</v>
      </c>
      <c r="H33" s="139">
        <f t="shared" si="10"/>
        <v>0.35652999999999996</v>
      </c>
      <c r="I33" s="139">
        <f t="shared" si="10"/>
        <v>0.0062341</v>
      </c>
      <c r="J33" s="139">
        <f t="shared" si="10"/>
        <v>0</v>
      </c>
      <c r="K33" s="139">
        <f t="shared" si="10"/>
        <v>0</v>
      </c>
      <c r="L33" s="139">
        <f t="shared" si="10"/>
        <v>0</v>
      </c>
      <c r="M33" s="139">
        <f t="shared" si="10"/>
        <v>0</v>
      </c>
      <c r="N33" s="144">
        <f t="shared" si="6"/>
        <v>1.726783475</v>
      </c>
    </row>
    <row r="34" s="96" customFormat="1" ht="12.75"/>
    <row r="35" spans="1:13" s="96" customFormat="1" ht="12.75">
      <c r="A35" s="322" t="s">
        <v>193</v>
      </c>
      <c r="B35" s="322"/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22"/>
    </row>
    <row r="36" spans="1:13" s="96" customFormat="1" ht="12.75">
      <c r="A36" s="322"/>
      <c r="B36" s="322"/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</row>
    <row r="37" spans="1:13" s="96" customFormat="1" ht="12.75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</row>
    <row r="38" spans="1:13" s="96" customFormat="1" ht="12.75">
      <c r="A38" s="323" t="s">
        <v>140</v>
      </c>
      <c r="B38" s="323"/>
      <c r="C38" s="323"/>
      <c r="D38" s="323"/>
      <c r="E38" s="323"/>
      <c r="F38" s="323"/>
      <c r="G38" s="323"/>
      <c r="H38" s="323"/>
      <c r="I38" s="323"/>
      <c r="J38" s="323"/>
      <c r="K38" s="323"/>
      <c r="L38" s="323"/>
      <c r="M38" s="323"/>
    </row>
    <row r="39" spans="1:13" s="131" customFormat="1" ht="15.75">
      <c r="A39" s="137"/>
      <c r="B39" s="138" t="str">
        <f>B27</f>
        <v>JAN</v>
      </c>
      <c r="C39" s="138" t="str">
        <f aca="true" t="shared" si="11" ref="C39:M39">C27</f>
        <v>FEB</v>
      </c>
      <c r="D39" s="138" t="str">
        <f t="shared" si="11"/>
        <v>MAR</v>
      </c>
      <c r="E39" s="138" t="str">
        <f t="shared" si="11"/>
        <v>APR</v>
      </c>
      <c r="F39" s="138" t="str">
        <f t="shared" si="11"/>
        <v>MAY</v>
      </c>
      <c r="G39" s="138" t="str">
        <f t="shared" si="11"/>
        <v>JUN</v>
      </c>
      <c r="H39" s="138" t="str">
        <f t="shared" si="11"/>
        <v>JUL</v>
      </c>
      <c r="I39" s="138" t="str">
        <f t="shared" si="11"/>
        <v>AUG</v>
      </c>
      <c r="J39" s="138" t="str">
        <f t="shared" si="11"/>
        <v>SEP</v>
      </c>
      <c r="K39" s="138" t="str">
        <f t="shared" si="11"/>
        <v>OCT</v>
      </c>
      <c r="L39" s="138" t="str">
        <f t="shared" si="11"/>
        <v>NOV</v>
      </c>
      <c r="M39" s="138" t="str">
        <f t="shared" si="11"/>
        <v>DEC</v>
      </c>
    </row>
    <row r="40" spans="1:14" s="131" customFormat="1" ht="12" customHeight="1">
      <c r="A40" s="103" t="s">
        <v>134</v>
      </c>
      <c r="B40" s="111">
        <f>B19*$E$53/2000</f>
        <v>0.002164375</v>
      </c>
      <c r="C40" s="111">
        <f aca="true" t="shared" si="12" ref="C40:M40">C19*$E$53/2000</f>
        <v>0.00259725</v>
      </c>
      <c r="D40" s="111">
        <f t="shared" si="12"/>
        <v>0.0034630000000000004</v>
      </c>
      <c r="E40" s="111">
        <f t="shared" si="12"/>
        <v>0.002164375</v>
      </c>
      <c r="F40" s="111">
        <f t="shared" si="12"/>
        <v>0.002164375</v>
      </c>
      <c r="G40" s="111">
        <f t="shared" si="12"/>
        <v>0.00259725</v>
      </c>
      <c r="H40" s="111">
        <f>H19*$E$53/2000</f>
        <v>0.0034630000000000004</v>
      </c>
      <c r="I40" s="111">
        <f t="shared" si="12"/>
        <v>0</v>
      </c>
      <c r="J40" s="111">
        <f t="shared" si="12"/>
        <v>0</v>
      </c>
      <c r="K40" s="111">
        <f t="shared" si="12"/>
        <v>0</v>
      </c>
      <c r="L40" s="111">
        <f t="shared" si="12"/>
        <v>0</v>
      </c>
      <c r="M40" s="111">
        <f t="shared" si="12"/>
        <v>0</v>
      </c>
      <c r="N40" s="161">
        <f>SUM(B40:M40)</f>
        <v>0.018613625</v>
      </c>
    </row>
    <row r="41" spans="1:13" s="96" customFormat="1" ht="12.75" hidden="1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</row>
    <row r="42" spans="1:13" s="96" customFormat="1" ht="12.75">
      <c r="A42" s="324" t="s">
        <v>216</v>
      </c>
      <c r="B42" s="324"/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</row>
    <row r="43" spans="1:13" s="96" customFormat="1" ht="12.75">
      <c r="A43" s="124"/>
      <c r="B43" s="152" t="str">
        <f>B39</f>
        <v>JAN</v>
      </c>
      <c r="C43" s="152" t="str">
        <f aca="true" t="shared" si="13" ref="C43:M43">C39</f>
        <v>FEB</v>
      </c>
      <c r="D43" s="152" t="str">
        <f t="shared" si="13"/>
        <v>MAR</v>
      </c>
      <c r="E43" s="152" t="str">
        <f t="shared" si="13"/>
        <v>APR</v>
      </c>
      <c r="F43" s="152" t="str">
        <f t="shared" si="13"/>
        <v>MAY</v>
      </c>
      <c r="G43" s="152" t="str">
        <f t="shared" si="13"/>
        <v>JUN</v>
      </c>
      <c r="H43" s="152" t="str">
        <f t="shared" si="13"/>
        <v>JUL</v>
      </c>
      <c r="I43" s="152" t="str">
        <f t="shared" si="13"/>
        <v>AUG</v>
      </c>
      <c r="J43" s="152" t="str">
        <f t="shared" si="13"/>
        <v>SEP</v>
      </c>
      <c r="K43" s="152" t="str">
        <f t="shared" si="13"/>
        <v>OCT</v>
      </c>
      <c r="L43" s="152" t="str">
        <f t="shared" si="13"/>
        <v>NOV</v>
      </c>
      <c r="M43" s="152" t="str">
        <f t="shared" si="13"/>
        <v>DEC</v>
      </c>
    </row>
    <row r="44" spans="1:14" s="96" customFormat="1" ht="12.75">
      <c r="A44" s="102" t="s">
        <v>182</v>
      </c>
      <c r="B44" s="103">
        <f>B21*0.05*0.4/100/2000</f>
        <v>2E-05</v>
      </c>
      <c r="C44" s="103">
        <f aca="true" t="shared" si="14" ref="C44:M44">C21*0.05*0.4/100/2000</f>
        <v>7.85E-05</v>
      </c>
      <c r="D44" s="103">
        <f t="shared" si="14"/>
        <v>0.00035</v>
      </c>
      <c r="E44" s="103">
        <f t="shared" si="14"/>
        <v>4E-05</v>
      </c>
      <c r="F44" s="103">
        <f t="shared" si="14"/>
        <v>2.9999999999999997E-05</v>
      </c>
      <c r="G44" s="103">
        <f t="shared" si="14"/>
        <v>0.0002064</v>
      </c>
      <c r="H44" s="103">
        <f t="shared" si="14"/>
        <v>0.000225</v>
      </c>
      <c r="I44" s="103">
        <f t="shared" si="14"/>
        <v>0</v>
      </c>
      <c r="J44" s="103">
        <f t="shared" si="14"/>
        <v>0</v>
      </c>
      <c r="K44" s="103">
        <f t="shared" si="14"/>
        <v>0</v>
      </c>
      <c r="L44" s="103">
        <f t="shared" si="14"/>
        <v>0</v>
      </c>
      <c r="M44" s="103">
        <f t="shared" si="14"/>
        <v>0</v>
      </c>
      <c r="N44" s="228">
        <f>SUM(B44:M44)</f>
        <v>0.0009499</v>
      </c>
    </row>
    <row r="45" s="96" customFormat="1" ht="12.75"/>
    <row r="46" s="96" customFormat="1" ht="11.25" customHeight="1"/>
    <row r="47" spans="1:13" s="96" customFormat="1" ht="15.75" hidden="1">
      <c r="A47" s="320" t="s">
        <v>110</v>
      </c>
      <c r="B47" s="320"/>
      <c r="C47" s="320"/>
      <c r="D47" s="320"/>
      <c r="E47" s="320"/>
      <c r="F47" s="320"/>
      <c r="G47" s="320"/>
      <c r="H47" s="320"/>
      <c r="I47" s="320"/>
      <c r="J47" s="320"/>
      <c r="K47" s="320"/>
      <c r="L47" s="320"/>
      <c r="M47" s="320"/>
    </row>
    <row r="48" spans="1:13" s="96" customFormat="1" ht="15.75" hidden="1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</row>
    <row r="49" spans="1:5" s="169" customFormat="1" ht="39" customHeight="1" hidden="1">
      <c r="A49" s="168"/>
      <c r="B49" s="98" t="s">
        <v>114</v>
      </c>
      <c r="C49" s="98" t="s">
        <v>111</v>
      </c>
      <c r="D49" s="98" t="s">
        <v>112</v>
      </c>
      <c r="E49" s="98" t="s">
        <v>113</v>
      </c>
    </row>
    <row r="50" spans="1:5" s="96" customFormat="1" ht="12.75" hidden="1">
      <c r="A50" s="106" t="str">
        <f>A28</f>
        <v>3451 U Fountain Solution</v>
      </c>
      <c r="B50" s="148">
        <f>1.07*2.2*10^-3/(2.64*10^-4)</f>
        <v>8.916666666666668</v>
      </c>
      <c r="C50" s="148">
        <v>2.17</v>
      </c>
      <c r="D50" s="170" t="s">
        <v>55</v>
      </c>
      <c r="E50" s="148">
        <v>0</v>
      </c>
    </row>
    <row r="51" spans="1:5" s="96" customFormat="1" ht="12.75" hidden="1">
      <c r="A51" s="106" t="s">
        <v>138</v>
      </c>
      <c r="B51" s="148">
        <f>0.96*2.2*10^-3/(2.64*10^-4)</f>
        <v>8</v>
      </c>
      <c r="C51" s="148">
        <v>6.51</v>
      </c>
      <c r="D51" s="148" t="str">
        <f>D50</f>
        <v>---</v>
      </c>
      <c r="E51" s="148">
        <v>0</v>
      </c>
    </row>
    <row r="52" spans="1:5" s="96" customFormat="1" ht="12.75" hidden="1">
      <c r="A52" s="106" t="s">
        <v>139</v>
      </c>
      <c r="B52" s="148">
        <v>8.34</v>
      </c>
      <c r="C52" s="170" t="s">
        <v>55</v>
      </c>
      <c r="D52" s="171">
        <v>0.31</v>
      </c>
      <c r="E52" s="148">
        <v>0</v>
      </c>
    </row>
    <row r="53" spans="1:5" s="96" customFormat="1" ht="12.75" hidden="1">
      <c r="A53" s="106" t="s">
        <v>134</v>
      </c>
      <c r="B53" s="103">
        <v>6.926</v>
      </c>
      <c r="C53" s="103">
        <v>6.5</v>
      </c>
      <c r="D53" s="104" t="str">
        <f>D51</f>
        <v>---</v>
      </c>
      <c r="E53" s="110">
        <v>0.025</v>
      </c>
    </row>
    <row r="54" s="96" customFormat="1" ht="12.75" hidden="1"/>
    <row r="55" s="96" customFormat="1" ht="12.75"/>
    <row r="56" s="96" customFormat="1" ht="12.75"/>
    <row r="57" s="96" customFormat="1" ht="12.75"/>
    <row r="58" s="96" customFormat="1" ht="12.75"/>
    <row r="59" s="96" customFormat="1" ht="12.75"/>
    <row r="60" s="96" customFormat="1" ht="12.75"/>
    <row r="61" s="96" customFormat="1" ht="12.75"/>
    <row r="62" s="96" customFormat="1" ht="12.75"/>
    <row r="63" s="96" customFormat="1" ht="12.75"/>
    <row r="64" s="96" customFormat="1" ht="12.75"/>
    <row r="65" s="96" customFormat="1" ht="12.75"/>
    <row r="66" s="96" customFormat="1" ht="12.75"/>
    <row r="67" s="96" customFormat="1" ht="12.75"/>
    <row r="68" s="96" customFormat="1" ht="12.75"/>
    <row r="69" s="96" customFormat="1" ht="12.75"/>
    <row r="70" s="96" customFormat="1" ht="12.75"/>
    <row r="71" s="96" customFormat="1" ht="12.75"/>
    <row r="72" s="96" customFormat="1" ht="12.75"/>
    <row r="73" s="96" customFormat="1" ht="12.75"/>
    <row r="74" s="96" customFormat="1" ht="12.75"/>
    <row r="75" s="96" customFormat="1" ht="12.75"/>
    <row r="76" s="96" customFormat="1" ht="12.75"/>
    <row r="77" s="96" customFormat="1" ht="12.75"/>
    <row r="78" s="96" customFormat="1" ht="12.75"/>
    <row r="79" s="96" customFormat="1" ht="12.75"/>
    <row r="80" s="96" customFormat="1" ht="12.75"/>
    <row r="81" s="96" customFormat="1" ht="12.75"/>
    <row r="82" s="96" customFormat="1" ht="12.75"/>
  </sheetData>
  <sheetProtection password="CDB2" sheet="1" objects="1" scenarios="1" selectLockedCells="1"/>
  <mergeCells count="9">
    <mergeCell ref="A1:M2"/>
    <mergeCell ref="A10:M11"/>
    <mergeCell ref="A4:M5"/>
    <mergeCell ref="A47:M47"/>
    <mergeCell ref="A24:M25"/>
    <mergeCell ref="B26:M26"/>
    <mergeCell ref="A35:M36"/>
    <mergeCell ref="A38:M38"/>
    <mergeCell ref="A42:M42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7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1" sqref="A1:IV16384"/>
    </sheetView>
  </sheetViews>
  <sheetFormatPr defaultColWidth="9.140625" defaultRowHeight="12.75"/>
  <cols>
    <col min="1" max="1" width="10.140625" style="96" customWidth="1"/>
    <col min="2" max="2" width="12.00390625" style="96" customWidth="1"/>
    <col min="3" max="3" width="13.00390625" style="96" customWidth="1"/>
    <col min="4" max="16384" width="9.140625" style="96" customWidth="1"/>
  </cols>
  <sheetData>
    <row r="1" spans="1:9" ht="12.75">
      <c r="A1" s="325" t="s">
        <v>214</v>
      </c>
      <c r="B1" s="326"/>
      <c r="C1" s="326"/>
      <c r="D1" s="326"/>
      <c r="E1" s="326"/>
      <c r="F1" s="326"/>
      <c r="G1" s="326"/>
      <c r="H1" s="326"/>
      <c r="I1" s="327"/>
    </row>
    <row r="2" spans="1:9" ht="12.75">
      <c r="A2" s="328" t="s">
        <v>244</v>
      </c>
      <c r="B2" s="329"/>
      <c r="C2" s="329"/>
      <c r="D2" s="329"/>
      <c r="E2" s="329"/>
      <c r="F2" s="329"/>
      <c r="G2" s="329"/>
      <c r="H2" s="329"/>
      <c r="I2" s="330"/>
    </row>
    <row r="3" spans="1:9" ht="13.5" thickBot="1">
      <c r="A3" s="332" t="s">
        <v>194</v>
      </c>
      <c r="B3" s="333"/>
      <c r="C3" s="333"/>
      <c r="D3" s="333"/>
      <c r="E3" s="333"/>
      <c r="F3" s="333"/>
      <c r="G3" s="333"/>
      <c r="H3" s="333"/>
      <c r="I3" s="334"/>
    </row>
    <row r="5" spans="1:3" ht="12.75">
      <c r="A5" s="331" t="s">
        <v>67</v>
      </c>
      <c r="B5" s="331" t="s">
        <v>68</v>
      </c>
      <c r="C5" s="331" t="s">
        <v>69</v>
      </c>
    </row>
    <row r="6" spans="1:3" ht="12.75">
      <c r="A6" s="321"/>
      <c r="B6" s="321"/>
      <c r="C6" s="321"/>
    </row>
    <row r="7" spans="1:3" ht="12.75">
      <c r="A7" s="115" t="s">
        <v>26</v>
      </c>
      <c r="B7" s="176">
        <f>'2010 VOC-HAP TRACKING '!F8+'2010 VOC-HAP TRACKING '!C38+'INPUT 4 - SHEETFED USAGE &amp; EMIS'!B33</f>
        <v>1.0772020481541413</v>
      </c>
      <c r="C7" s="177">
        <f>'2010 VOC-HAP TRACKING '!D38+'INPUT 4 - SHEETFED USAGE &amp; EMIS'!B40+'INPUT 4 - SHEETFED USAGE &amp; EMIS'!B44</f>
        <v>0.06053323859192589</v>
      </c>
    </row>
    <row r="8" spans="1:3" ht="12.75">
      <c r="A8" s="115" t="s">
        <v>27</v>
      </c>
      <c r="B8" s="176">
        <f>'2010 VOC-HAP TRACKING '!C40+'2010 VOC-HAP TRACKING '!F10+'INPUT 4 - SHEETFED USAGE &amp; EMIS'!C33</f>
        <v>1.2129915881466742</v>
      </c>
      <c r="C8" s="177">
        <f>'2010 VOC-HAP TRACKING '!D40+'INPUT 4 - SHEETFED USAGE &amp; EMIS'!C40+'INPUT 4 - SHEETFED USAGE &amp; EMIS'!C44</f>
        <v>0.03471022628989814</v>
      </c>
    </row>
    <row r="9" spans="1:5" ht="12.75">
      <c r="A9" s="115" t="s">
        <v>28</v>
      </c>
      <c r="B9" s="176">
        <f>'2010 VOC-HAP TRACKING '!F12+'2010 VOC-HAP TRACKING '!C42+'INPUT 4 - SHEETFED USAGE &amp; EMIS'!D33</f>
        <v>2.0114667122946868</v>
      </c>
      <c r="C9" s="177">
        <f>'2010 VOC-HAP TRACKING '!D42+'INPUT 4 - SHEETFED USAGE &amp; EMIS'!D40+'INPUT 4 - SHEETFED USAGE &amp; EMIS'!D44</f>
        <v>0.15073340515959252</v>
      </c>
      <c r="E9" s="135"/>
    </row>
    <row r="10" spans="1:3" ht="12.75">
      <c r="A10" s="115" t="s">
        <v>29</v>
      </c>
      <c r="B10" s="176">
        <f>'2010 VOC-HAP TRACKING '!C44+'2010 VOC-HAP TRACKING '!F14+'INPUT 4 - SHEETFED USAGE &amp; EMIS'!E33</f>
        <v>1.5555182686629383</v>
      </c>
      <c r="C10" s="177">
        <f>'2010 VOC-HAP TRACKING '!D44+'INPUT 4 - SHEETFED USAGE &amp; EMIS'!E40+'INPUT 4 - SHEETFED USAGE &amp; EMIS'!E44</f>
        <v>0.08808165515959254</v>
      </c>
    </row>
    <row r="11" spans="1:3" ht="12.75">
      <c r="A11" s="115" t="s">
        <v>30</v>
      </c>
      <c r="B11" s="176">
        <f>'2010 VOC-HAP TRACKING '!F16+'2010 VOC-HAP TRACKING '!C46+'INPUT 4 - SHEETFED USAGE &amp; EMIS'!F33</f>
        <v>0.9401395271442706</v>
      </c>
      <c r="C11" s="177">
        <f>'2010 VOC-HAP TRACKING '!D46+'INPUT 4 - SHEETFED USAGE &amp; EMIS'!F40+'INPUT 4 - SHEETFED USAGE &amp; EMIS'!F44</f>
        <v>0.08249400322474534</v>
      </c>
    </row>
    <row r="12" spans="1:3" ht="12.75">
      <c r="A12" s="115" t="s">
        <v>31</v>
      </c>
      <c r="B12" s="176">
        <f>'2010 VOC-HAP TRACKING '!F18+'2010 VOC-HAP TRACKING '!C48+'INPUT 4 - SHEETFED USAGE &amp; EMIS'!G33</f>
        <v>1.4444608350359072</v>
      </c>
      <c r="C12" s="177">
        <f>'2010 VOC-HAP TRACKING '!D48+'INPUT 4 - SHEETFED USAGE &amp; EMIS'!G40+'INPUT 4 - SHEETFED USAGE &amp; EMIS'!G44</f>
        <v>0.10531962951464349</v>
      </c>
    </row>
    <row r="13" spans="1:3" ht="12.75">
      <c r="A13" s="115" t="s">
        <v>32</v>
      </c>
      <c r="B13" s="176">
        <f>'2010 VOC-HAP TRACKING '!F20+'2010 VOC-HAP TRACKING '!C50+'INPUT 4 - SHEETFED USAGE &amp; EMIS'!H33</f>
        <v>1.2167833690110004</v>
      </c>
      <c r="C13" s="177">
        <f>'2010 VOC-HAP TRACKING '!D50+'INPUT 4 - SHEETFED USAGE &amp; EMIS'!H40+'INPUT 4 - SHEETFED USAGE &amp; EMIS'!H44</f>
        <v>0.09916054201464349</v>
      </c>
    </row>
    <row r="14" spans="1:3" ht="12.75">
      <c r="A14" s="115" t="s">
        <v>33</v>
      </c>
      <c r="B14" s="176">
        <f>'2010 VOC-HAP TRACKING '!F22+'2010 VOC-HAP TRACKING '!C52+'INPUT 4 - SHEETFED USAGE &amp; EMIS'!I33</f>
        <v>0.0062341</v>
      </c>
      <c r="C14" s="177">
        <f>'2010 VOC-HAP TRACKING '!D52+'INPUT 4 - SHEETFED USAGE &amp; EMIS'!I40+'INPUT 4 - SHEETFED USAGE &amp; EMIS'!I44</f>
        <v>0</v>
      </c>
    </row>
    <row r="15" spans="1:3" ht="12.75">
      <c r="A15" s="115" t="s">
        <v>34</v>
      </c>
      <c r="B15" s="176">
        <f>'2010 VOC-HAP TRACKING '!F24+'2010 VOC-HAP TRACKING '!C54+'INPUT 4 - SHEETFED USAGE &amp; EMIS'!J33</f>
        <v>0</v>
      </c>
      <c r="C15" s="177">
        <f>'2010 VOC-HAP TRACKING '!D54+'INPUT 4 - SHEETFED USAGE &amp; EMIS'!J40+'INPUT 4 - SHEETFED USAGE &amp; EMIS'!J44</f>
        <v>0</v>
      </c>
    </row>
    <row r="16" spans="1:3" ht="12.75">
      <c r="A16" s="115" t="s">
        <v>35</v>
      </c>
      <c r="B16" s="176">
        <f>'2010 VOC-HAP TRACKING '!F26+'2010 VOC-HAP TRACKING '!C56+'INPUT 4 - SHEETFED USAGE &amp; EMIS'!K33</f>
        <v>0</v>
      </c>
      <c r="C16" s="177">
        <f>'2010 VOC-HAP TRACKING '!D56+'INPUT 4 - SHEETFED USAGE &amp; EMIS'!K40+'INPUT 4 - SHEETFED USAGE &amp; EMIS'!K44</f>
        <v>0</v>
      </c>
    </row>
    <row r="17" spans="1:3" ht="12.75">
      <c r="A17" s="115" t="s">
        <v>36</v>
      </c>
      <c r="B17" s="176">
        <f>'2010 VOC-HAP TRACKING '!F28+'2010 VOC-HAP TRACKING '!C58+'INPUT 4 - SHEETFED USAGE &amp; EMIS'!L33</f>
        <v>0</v>
      </c>
      <c r="C17" s="177">
        <f>'2010 VOC-HAP TRACKING '!D58+'INPUT 4 - SHEETFED USAGE &amp; EMIS'!L40+'INPUT 4 - SHEETFED USAGE &amp; EMIS'!L44</f>
        <v>0</v>
      </c>
    </row>
    <row r="18" spans="1:3" ht="12.75">
      <c r="A18" s="115" t="s">
        <v>37</v>
      </c>
      <c r="B18" s="176">
        <f>'2010 VOC-HAP TRACKING '!F30+'2010 VOC-HAP TRACKING '!C60+'INPUT 4 - SHEETFED USAGE &amp; EMIS'!M33</f>
        <v>0</v>
      </c>
      <c r="C18" s="177">
        <f>'2010 VOC-HAP TRACKING '!D60+'INPUT 4 - SHEETFED USAGE &amp; EMIS'!M40+'INPUT 4 - SHEETFED USAGE &amp; EMIS'!M44</f>
        <v>0</v>
      </c>
    </row>
    <row r="19" spans="1:3" ht="12.75">
      <c r="A19" s="178" t="s">
        <v>70</v>
      </c>
      <c r="B19" s="202">
        <f>SUM(B7:B18)</f>
        <v>9.46479644844962</v>
      </c>
      <c r="C19" s="202">
        <f>SUM(C7:C18)</f>
        <v>0.6210326999550414</v>
      </c>
    </row>
  </sheetData>
  <sheetProtection password="CDB2" sheet="1" objects="1" scenarios="1" selectLockedCells="1" selectUnlockedCells="1"/>
  <mergeCells count="6">
    <mergeCell ref="A1:I1"/>
    <mergeCell ref="A2:I2"/>
    <mergeCell ref="A5:A6"/>
    <mergeCell ref="B5:B6"/>
    <mergeCell ref="C5:C6"/>
    <mergeCell ref="A3:I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A1" sqref="A1:IV16384"/>
    </sheetView>
  </sheetViews>
  <sheetFormatPr defaultColWidth="9.140625" defaultRowHeight="12.75"/>
  <cols>
    <col min="1" max="1" width="17.28125" style="96" customWidth="1"/>
    <col min="2" max="2" width="22.421875" style="96" bestFit="1" customWidth="1"/>
    <col min="3" max="3" width="22.8515625" style="96" customWidth="1"/>
    <col min="4" max="4" width="16.421875" style="96" customWidth="1"/>
    <col min="5" max="7" width="9.140625" style="96" customWidth="1"/>
    <col min="8" max="8" width="13.140625" style="96" customWidth="1"/>
    <col min="9" max="9" width="11.28125" style="96" customWidth="1"/>
    <col min="10" max="16384" width="9.140625" style="96" customWidth="1"/>
  </cols>
  <sheetData>
    <row r="1" spans="1:9" ht="12.75">
      <c r="A1" s="350" t="s">
        <v>214</v>
      </c>
      <c r="B1" s="350"/>
      <c r="C1" s="350"/>
      <c r="D1" s="350"/>
      <c r="E1" s="350"/>
      <c r="F1" s="350"/>
      <c r="G1" s="350"/>
      <c r="H1" s="350"/>
      <c r="I1" s="351"/>
    </row>
    <row r="2" spans="1:9" ht="12.75">
      <c r="A2" s="352" t="s">
        <v>236</v>
      </c>
      <c r="B2" s="329"/>
      <c r="C2" s="329"/>
      <c r="D2" s="329"/>
      <c r="E2" s="329"/>
      <c r="F2" s="329"/>
      <c r="G2" s="329"/>
      <c r="H2" s="329"/>
      <c r="I2" s="351"/>
    </row>
    <row r="3" spans="1:9" ht="12.75">
      <c r="A3" s="352" t="str">
        <f>'2010 VOC HAP'!A3:I3</f>
        <v>EU#1,EU#2,EU#3 &amp; EU#4</v>
      </c>
      <c r="B3" s="352"/>
      <c r="C3" s="352"/>
      <c r="D3" s="352"/>
      <c r="E3" s="352"/>
      <c r="F3" s="352"/>
      <c r="G3" s="352"/>
      <c r="H3" s="352"/>
      <c r="I3" s="352"/>
    </row>
    <row r="4" spans="1:9" ht="13.5" thickBot="1">
      <c r="A4" s="353"/>
      <c r="B4" s="351"/>
      <c r="C4" s="351"/>
      <c r="D4" s="351"/>
      <c r="E4" s="351"/>
      <c r="F4" s="351"/>
      <c r="G4" s="351"/>
      <c r="H4" s="351"/>
      <c r="I4" s="351"/>
    </row>
    <row r="5" spans="1:10" ht="13.5" thickBot="1">
      <c r="A5" s="197" t="s">
        <v>210</v>
      </c>
      <c r="B5" s="193"/>
      <c r="C5" s="194"/>
      <c r="D5" s="194"/>
      <c r="E5" s="194"/>
      <c r="F5" s="194"/>
      <c r="G5" s="195" t="s">
        <v>183</v>
      </c>
      <c r="H5" s="198"/>
      <c r="I5" s="196">
        <f>'INPUT 2 - INK USAGE &amp; VOC 2010'!C32+'INPUT 4 - SHEETFED USAGE &amp; EMIS'!N20+'INPUT 4 - SHEETFED USAGE &amp; EMIS'!N21</f>
        <v>230398.15</v>
      </c>
      <c r="J5"/>
    </row>
    <row r="6" spans="1:9" ht="13.5" thickBot="1">
      <c r="A6" s="341"/>
      <c r="B6" s="342"/>
      <c r="C6" s="342"/>
      <c r="D6" s="342"/>
      <c r="E6" s="342"/>
      <c r="F6" s="342"/>
      <c r="G6" s="342"/>
      <c r="H6" s="342"/>
      <c r="I6" s="343"/>
    </row>
    <row r="7" spans="1:9" ht="13.5" thickBot="1">
      <c r="A7" s="341" t="s">
        <v>211</v>
      </c>
      <c r="B7" s="342"/>
      <c r="C7" s="343"/>
      <c r="D7" s="172"/>
      <c r="E7" s="344"/>
      <c r="F7" s="345"/>
      <c r="G7" s="346" t="s">
        <v>73</v>
      </c>
      <c r="H7" s="347"/>
      <c r="I7" s="175">
        <f>'INPUT 1 - 2010 MATERIAL USAGE'!N8+'INPUT 1 - 2010 MATERIAL USAGE'!N9+'INPUT 4 - SHEETFED USAGE &amp; EMIS'!N18+'INPUT 1 - 2010 MATERIAL USAGE'!N11</f>
        <v>2385</v>
      </c>
    </row>
    <row r="8" spans="1:9" ht="13.5" thickBot="1">
      <c r="A8" s="173"/>
      <c r="B8" s="348"/>
      <c r="C8" s="349"/>
      <c r="D8" s="174"/>
      <c r="E8" s="341"/>
      <c r="F8" s="349"/>
      <c r="G8" s="346" t="s">
        <v>74</v>
      </c>
      <c r="H8" s="347"/>
      <c r="I8" s="175">
        <f>'INPUT 1 - 2010 MATERIAL USAGE'!N10+'INPUT 4 - SHEETFED USAGE &amp; EMIS'!N14+'INPUT 4 - SHEETFED USAGE &amp; EMIS'!N16</f>
        <v>2905</v>
      </c>
    </row>
    <row r="11" spans="1:4" ht="12.75">
      <c r="A11" s="338" t="s">
        <v>237</v>
      </c>
      <c r="B11" s="339"/>
      <c r="C11" s="339"/>
      <c r="D11" s="340"/>
    </row>
    <row r="12" spans="1:4" ht="12.75">
      <c r="A12" s="335" t="s">
        <v>194</v>
      </c>
      <c r="B12" s="336"/>
      <c r="C12" s="336"/>
      <c r="D12" s="337"/>
    </row>
    <row r="15" spans="1:4" ht="12.75">
      <c r="A15" s="124" t="s">
        <v>84</v>
      </c>
      <c r="B15" s="124" t="s">
        <v>184</v>
      </c>
      <c r="C15" s="124" t="s">
        <v>86</v>
      </c>
      <c r="D15" s="124" t="s">
        <v>141</v>
      </c>
    </row>
    <row r="16" spans="1:4" ht="12.75">
      <c r="A16" s="124"/>
      <c r="B16" s="124" t="s">
        <v>88</v>
      </c>
      <c r="C16" s="124" t="s">
        <v>89</v>
      </c>
      <c r="D16" s="124" t="str">
        <f>C16</f>
        <v>GAL</v>
      </c>
    </row>
    <row r="17" spans="1:4" ht="12.75">
      <c r="A17" s="103" t="s">
        <v>77</v>
      </c>
      <c r="B17" s="104">
        <f>'INPUT 2 - INK USAGE &amp; VOC 2010'!C9+'INPUT 4 - SHEETFED USAGE &amp; EMIS'!B20+'INPUT 4 - SHEETFED USAGE &amp; EMIS'!B21</f>
        <v>30547.6</v>
      </c>
      <c r="C17" s="125">
        <f>'INPUT 1 - 2010 MATERIAL USAGE'!B10+'INPUT 4 - SHEETFED USAGE &amp; EMIS'!B14+'INPUT 4 - SHEETFED USAGE &amp; EMIS'!B16</f>
        <v>385</v>
      </c>
      <c r="D17" s="125">
        <f>'INPUT 1 - 2010 MATERIAL USAGE'!B8+'INPUT 1 - 2010 MATERIAL USAGE'!B9+'INPUT 4 - SHEETFED USAGE &amp; EMIS'!B18+'2010 VOC-HAP TRACKING '!B232</f>
        <v>300</v>
      </c>
    </row>
    <row r="18" spans="1:4" ht="12.75">
      <c r="A18" s="103" t="s">
        <v>27</v>
      </c>
      <c r="B18" s="104">
        <f>'INPUT 2 - INK USAGE &amp; VOC 2010'!C11+'INPUT 4 - SHEETFED USAGE &amp; EMIS'!C20+'INPUT 4 - SHEETFED USAGE &amp; EMIS'!C21</f>
        <v>29385.4</v>
      </c>
      <c r="C18" s="125">
        <f>'INPUT 1 - 2010 MATERIAL USAGE'!C10+'INPUT 4 - SHEETFED USAGE &amp; EMIS'!C14+'INPUT 4 - SHEETFED USAGE &amp; EMIS'!C16</f>
        <v>175</v>
      </c>
      <c r="D18" s="125">
        <f>'INPUT 1 - 2010 MATERIAL USAGE'!C8+'INPUT 1 - 2010 MATERIAL USAGE'!C9+'INPUT 4 - SHEETFED USAGE &amp; EMIS'!C18+'2010 VOC-HAP TRACKING '!B233</f>
        <v>360</v>
      </c>
    </row>
    <row r="19" spans="1:4" ht="12.75">
      <c r="A19" s="103" t="s">
        <v>28</v>
      </c>
      <c r="B19" s="104">
        <f>'INPUT 2 - INK USAGE &amp; VOC 2010'!C13+'INPUT 4 - SHEETFED USAGE &amp; EMIS'!D20+'INPUT 4 - SHEETFED USAGE &amp; EMIS'!D21</f>
        <v>45421.5</v>
      </c>
      <c r="C19" s="125">
        <f>'INPUT 1 - 2010 MATERIAL USAGE'!D10+'INPUT 4 - SHEETFED USAGE &amp; EMIS'!D14+'INPUT 4 - SHEETFED USAGE &amp; EMIS'!D16</f>
        <v>535</v>
      </c>
      <c r="D19" s="125">
        <f>'INPUT 1 - 2010 MATERIAL USAGE'!D8+'INPUT 1 - 2010 MATERIAL USAGE'!D9+'INPUT 4 - SHEETFED USAGE &amp; EMIS'!D18+'2010 VOC-HAP TRACKING '!B234</f>
        <v>590</v>
      </c>
    </row>
    <row r="20" spans="1:4" ht="12.75">
      <c r="A20" s="103" t="s">
        <v>29</v>
      </c>
      <c r="B20" s="104">
        <f>'INPUT 2 - INK USAGE &amp; VOC 2010'!C15+'INPUT 4 - SHEETFED USAGE &amp; EMIS'!E20+'INPUT 4 - SHEETFED USAGE &amp; EMIS'!E21</f>
        <v>41206.4</v>
      </c>
      <c r="C20" s="125">
        <f>'INPUT 1 - 2010 MATERIAL USAGE'!E10+'INPUT 4 - SHEETFED USAGE &amp; EMIS'!E14+'INPUT 4 - SHEETFED USAGE &amp; EMIS'!E16</f>
        <v>505</v>
      </c>
      <c r="D20" s="125">
        <f>'INPUT 1 - 2010 MATERIAL USAGE'!E8+'INPUT 1 - 2010 MATERIAL USAGE'!E9+'INPUT 4 - SHEETFED USAGE &amp; EMIS'!E18+'2010 VOC-HAP TRACKING '!B235</f>
        <v>355</v>
      </c>
    </row>
    <row r="21" spans="1:4" ht="12.75">
      <c r="A21" s="103" t="s">
        <v>30</v>
      </c>
      <c r="B21" s="104">
        <f>'INPUT 2 - INK USAGE &amp; VOC 2010'!C17+'INPUT 4 - SHEETFED USAGE &amp; EMIS'!F20+'INPUT 4 - SHEETFED USAGE &amp; EMIS'!F21</f>
        <v>25819.95</v>
      </c>
      <c r="C21" s="125">
        <f>'INPUT 1 - 2010 MATERIAL USAGE'!F10+'INPUT 4 - SHEETFED USAGE &amp; EMIS'!F14+'INPUT 4 - SHEETFED USAGE &amp; EMIS'!F16</f>
        <v>330</v>
      </c>
      <c r="D21" s="125">
        <f>'INPUT 1 - 2010 MATERIAL USAGE'!F8+'INPUT 1 - 2010 MATERIAL USAGE'!F9+'INPUT 4 - SHEETFED USAGE &amp; EMIS'!F18+'2010 VOC-HAP TRACKING '!B236</f>
        <v>165</v>
      </c>
    </row>
    <row r="22" spans="1:4" ht="12.75">
      <c r="A22" s="103" t="s">
        <v>31</v>
      </c>
      <c r="B22" s="104">
        <f>'INPUT 2 - INK USAGE &amp; VOC 2010'!C19+'INPUT 4 - SHEETFED USAGE &amp; EMIS'!G20+'INPUT 4 - SHEETFED USAGE &amp; EMIS'!G21</f>
        <v>29095.9</v>
      </c>
      <c r="C22" s="125">
        <f>'INPUT 1 - 2010 MATERIAL USAGE'!G10+'INPUT 4 - SHEETFED USAGE &amp; EMIS'!G14+'INPUT 4 - SHEETFED USAGE &amp; EMIS'!G16</f>
        <v>475</v>
      </c>
      <c r="D22" s="125">
        <f>'INPUT 1 - 2010 MATERIAL USAGE'!G8+'INPUT 1 - 2010 MATERIAL USAGE'!G9+'INPUT 4 - SHEETFED USAGE &amp; EMIS'!G18+'2010 VOC-HAP TRACKING '!B237</f>
        <v>385</v>
      </c>
    </row>
    <row r="23" spans="1:4" ht="12.75">
      <c r="A23" s="103" t="s">
        <v>32</v>
      </c>
      <c r="B23" s="104">
        <f>'INPUT 2 - INK USAGE &amp; VOC 2010'!C21+'INPUT 4 - SHEETFED USAGE &amp; EMIS'!H20+'INPUT 4 - SHEETFED USAGE &amp; EMIS'!H21</f>
        <v>28117</v>
      </c>
      <c r="C23" s="125">
        <f>'INPUT 1 - 2010 MATERIAL USAGE'!H10+'INPUT 4 - SHEETFED USAGE &amp; EMIS'!H14+'INPUT 4 - SHEETFED USAGE &amp; EMIS'!H16</f>
        <v>500</v>
      </c>
      <c r="D23" s="125">
        <f>'INPUT 1 - 2010 MATERIAL USAGE'!H8+'INPUT 1 - 2010 MATERIAL USAGE'!H9+'INPUT 4 - SHEETFED USAGE &amp; EMIS'!H18+'2010 VOC-HAP TRACKING '!B238</f>
        <v>230</v>
      </c>
    </row>
    <row r="24" spans="1:4" ht="12.75">
      <c r="A24" s="103" t="s">
        <v>33</v>
      </c>
      <c r="B24" s="104">
        <f>'INPUT 2 - INK USAGE &amp; VOC 2010'!C23+'INPUT 4 - SHEETFED USAGE &amp; EMIS'!I20+'INPUT 4 - SHEETFED USAGE &amp; EMIS'!I21</f>
        <v>804.4</v>
      </c>
      <c r="C24" s="125">
        <f>'INPUT 1 - 2010 MATERIAL USAGE'!I10+'INPUT 4 - SHEETFED USAGE &amp; EMIS'!I14+'INPUT 4 - SHEETFED USAGE &amp; EMIS'!I16</f>
        <v>0</v>
      </c>
      <c r="D24" s="125">
        <f>'INPUT 1 - 2010 MATERIAL USAGE'!I8+'INPUT 1 - 2010 MATERIAL USAGE'!I9+'INPUT 4 - SHEETFED USAGE &amp; EMIS'!I18+'2010 VOC-HAP TRACKING '!B239</f>
        <v>0</v>
      </c>
    </row>
    <row r="25" spans="1:4" ht="12.75">
      <c r="A25" s="103" t="s">
        <v>34</v>
      </c>
      <c r="B25" s="104">
        <f>'INPUT 2 - INK USAGE &amp; VOC 2010'!C25+'INPUT 4 - SHEETFED USAGE &amp; EMIS'!J20+'INPUT 4 - SHEETFED USAGE &amp; EMIS'!J21</f>
        <v>0</v>
      </c>
      <c r="C25" s="125">
        <f>'INPUT 1 - 2010 MATERIAL USAGE'!J10+'INPUT 4 - SHEETFED USAGE &amp; EMIS'!J14+'INPUT 4 - SHEETFED USAGE &amp; EMIS'!J16</f>
        <v>0</v>
      </c>
      <c r="D25" s="125">
        <f>'INPUT 1 - 2010 MATERIAL USAGE'!J8+'INPUT 1 - 2010 MATERIAL USAGE'!J9+'INPUT 4 - SHEETFED USAGE &amp; EMIS'!J18+'2010 VOC-HAP TRACKING '!B240</f>
        <v>0</v>
      </c>
    </row>
    <row r="26" spans="1:4" ht="12.75">
      <c r="A26" s="103" t="s">
        <v>35</v>
      </c>
      <c r="B26" s="104">
        <f>'INPUT 2 - INK USAGE &amp; VOC 2010'!C27+'INPUT 4 - SHEETFED USAGE &amp; EMIS'!K20+'INPUT 4 - SHEETFED USAGE &amp; EMIS'!K21</f>
        <v>0</v>
      </c>
      <c r="C26" s="125">
        <f>'INPUT 1 - 2010 MATERIAL USAGE'!K10+'INPUT 4 - SHEETFED USAGE &amp; EMIS'!K14+'INPUT 4 - SHEETFED USAGE &amp; EMIS'!K16</f>
        <v>0</v>
      </c>
      <c r="D26" s="125">
        <f>'INPUT 1 - 2010 MATERIAL USAGE'!K8+'INPUT 1 - 2010 MATERIAL USAGE'!K9+'INPUT 4 - SHEETFED USAGE &amp; EMIS'!K18+'2010 VOC-HAP TRACKING '!B241</f>
        <v>0</v>
      </c>
    </row>
    <row r="27" spans="1:4" ht="12.75">
      <c r="A27" s="103" t="s">
        <v>36</v>
      </c>
      <c r="B27" s="104">
        <f>'INPUT 2 - INK USAGE &amp; VOC 2010'!C29+'INPUT 4 - SHEETFED USAGE &amp; EMIS'!L20+'INPUT 4 - SHEETFED USAGE &amp; EMIS'!L21</f>
        <v>0</v>
      </c>
      <c r="C27" s="125">
        <f>'INPUT 1 - 2010 MATERIAL USAGE'!L10+'INPUT 4 - SHEETFED USAGE &amp; EMIS'!L14+'INPUT 4 - SHEETFED USAGE &amp; EMIS'!L16</f>
        <v>0</v>
      </c>
      <c r="D27" s="125">
        <f>'INPUT 1 - 2010 MATERIAL USAGE'!L8+'INPUT 1 - 2010 MATERIAL USAGE'!L9+'INPUT 4 - SHEETFED USAGE &amp; EMIS'!L18+'2010 VOC-HAP TRACKING '!B242</f>
        <v>0</v>
      </c>
    </row>
    <row r="28" spans="1:4" ht="12.75">
      <c r="A28" s="103" t="s">
        <v>37</v>
      </c>
      <c r="B28" s="104">
        <f>'INPUT 2 - INK USAGE &amp; VOC 2010'!C31+'INPUT 4 - SHEETFED USAGE &amp; EMIS'!M20+'INPUT 4 - SHEETFED USAGE &amp; EMIS'!M21</f>
        <v>0</v>
      </c>
      <c r="C28" s="125">
        <f>'INPUT 1 - 2010 MATERIAL USAGE'!M10+'INPUT 4 - SHEETFED USAGE &amp; EMIS'!M14+'INPUT 4 - SHEETFED USAGE &amp; EMIS'!M16</f>
        <v>0</v>
      </c>
      <c r="D28" s="125">
        <f>'INPUT 1 - 2010 MATERIAL USAGE'!M8+'INPUT 1 - 2010 MATERIAL USAGE'!M9+'INPUT 4 - SHEETFED USAGE &amp; EMIS'!M18+'2010 VOC-HAP TRACKING '!B243</f>
        <v>0</v>
      </c>
    </row>
    <row r="29" spans="2:4" s="192" customFormat="1" ht="12.75">
      <c r="B29" s="223">
        <f>SUM(B17:B28)</f>
        <v>230398.15</v>
      </c>
      <c r="C29" s="224">
        <f>SUM(C17:C28)</f>
        <v>2905</v>
      </c>
      <c r="D29" s="225">
        <f>SUM(D17:D28)</f>
        <v>2385</v>
      </c>
    </row>
  </sheetData>
  <sheetProtection password="CDB2" sheet="1" objects="1" scenarios="1" selectLockedCells="1" selectUnlockedCells="1"/>
  <mergeCells count="13">
    <mergeCell ref="A1:I1"/>
    <mergeCell ref="A2:I2"/>
    <mergeCell ref="A4:I4"/>
    <mergeCell ref="A3:I3"/>
    <mergeCell ref="A6:I6"/>
    <mergeCell ref="G7:H7"/>
    <mergeCell ref="B8:C8"/>
    <mergeCell ref="E8:F8"/>
    <mergeCell ref="G8:H8"/>
    <mergeCell ref="A12:D12"/>
    <mergeCell ref="A11:D11"/>
    <mergeCell ref="A7:C7"/>
    <mergeCell ref="E7:F7"/>
  </mergeCells>
  <printOptions horizontalCentered="1"/>
  <pageMargins left="0.75" right="0.75" top="1" bottom="1" header="0.5" footer="0.5"/>
  <pageSetup fitToHeight="1" fitToWidth="1" horizontalDpi="600" verticalDpi="600" orientation="portrait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70"/>
  <sheetViews>
    <sheetView zoomScaleSheetLayoutView="80" workbookViewId="0" topLeftCell="A1">
      <selection activeCell="A1" sqref="A1:IV16384"/>
    </sheetView>
  </sheetViews>
  <sheetFormatPr defaultColWidth="9.140625" defaultRowHeight="12.75"/>
  <cols>
    <col min="2" max="2" width="15.7109375" style="0" customWidth="1"/>
    <col min="3" max="3" width="26.00390625" style="6" customWidth="1"/>
    <col min="4" max="4" width="25.28125" style="6" customWidth="1"/>
    <col min="5" max="5" width="10.421875" style="6" customWidth="1"/>
    <col min="6" max="6" width="11.421875" style="6" customWidth="1"/>
    <col min="7" max="7" width="13.421875" style="209" customWidth="1"/>
    <col min="8" max="8" width="15.140625" style="6" customWidth="1"/>
    <col min="9" max="9" width="11.00390625" style="7" bestFit="1" customWidth="1"/>
    <col min="10" max="10" width="4.8515625" style="8" customWidth="1"/>
    <col min="11" max="11" width="13.28125" style="0" customWidth="1"/>
    <col min="12" max="12" width="3.8515625" style="0" hidden="1" customWidth="1"/>
    <col min="13" max="13" width="32.00390625" style="0" customWidth="1"/>
    <col min="14" max="14" width="13.00390625" style="2" customWidth="1"/>
  </cols>
  <sheetData>
    <row r="1" spans="1:14" s="3" customFormat="1" ht="12.75">
      <c r="A1" s="390" t="s">
        <v>214</v>
      </c>
      <c r="B1" s="391"/>
      <c r="C1" s="391"/>
      <c r="D1" s="391"/>
      <c r="E1" s="391"/>
      <c r="F1" s="391"/>
      <c r="G1" s="391"/>
      <c r="H1" s="391"/>
      <c r="I1" s="1"/>
      <c r="J1" s="2"/>
      <c r="M1"/>
      <c r="N1" s="2"/>
    </row>
    <row r="2" spans="1:14" s="3" customFormat="1" ht="13.5" thickBot="1">
      <c r="A2" s="392" t="s">
        <v>238</v>
      </c>
      <c r="B2" s="393"/>
      <c r="C2" s="393"/>
      <c r="D2" s="393"/>
      <c r="E2" s="393"/>
      <c r="F2" s="393"/>
      <c r="G2" s="393"/>
      <c r="H2" s="393"/>
      <c r="I2" s="1"/>
      <c r="M2"/>
      <c r="N2" s="2"/>
    </row>
    <row r="3" ht="13.5" thickTop="1">
      <c r="A3" s="5"/>
    </row>
    <row r="4" spans="1:8" ht="18.75" customHeight="1">
      <c r="A4" s="396" t="s">
        <v>215</v>
      </c>
      <c r="B4" s="396"/>
      <c r="C4" s="396"/>
      <c r="D4" s="396"/>
      <c r="E4" s="396"/>
      <c r="F4" s="396"/>
      <c r="G4" s="396"/>
      <c r="H4"/>
    </row>
    <row r="5" spans="1:8" ht="18.75" customHeight="1">
      <c r="A5" s="396" t="s">
        <v>195</v>
      </c>
      <c r="B5" s="396"/>
      <c r="C5" s="396"/>
      <c r="D5" s="396"/>
      <c r="E5" s="396"/>
      <c r="F5" s="396"/>
      <c r="G5" s="210"/>
      <c r="H5"/>
    </row>
    <row r="6" spans="1:8" ht="18.75" customHeight="1">
      <c r="A6" s="399" t="s">
        <v>203</v>
      </c>
      <c r="B6" s="399"/>
      <c r="C6" s="399"/>
      <c r="D6" s="399"/>
      <c r="E6" s="399"/>
      <c r="F6" s="399"/>
      <c r="G6" s="399"/>
      <c r="H6"/>
    </row>
    <row r="7" spans="1:14" ht="24">
      <c r="A7" s="397" t="s">
        <v>144</v>
      </c>
      <c r="B7" s="398"/>
      <c r="C7" s="89" t="s">
        <v>1</v>
      </c>
      <c r="D7" s="90" t="s">
        <v>2</v>
      </c>
      <c r="E7" s="91" t="s">
        <v>51</v>
      </c>
      <c r="F7" s="92" t="s">
        <v>52</v>
      </c>
      <c r="H7"/>
      <c r="M7" s="6"/>
      <c r="N7" s="10"/>
    </row>
    <row r="8" spans="1:14" s="11" customFormat="1" ht="12.75">
      <c r="A8" s="368" t="s">
        <v>143</v>
      </c>
      <c r="B8" s="368"/>
      <c r="C8" s="203">
        <f>'INPUT 2 - INK USAGE &amp; VOC 2010'!C9</f>
        <v>29510</v>
      </c>
      <c r="D8" s="203">
        <f>'INPUT 2 - INK USAGE &amp; VOC 2010'!D9</f>
        <v>10679.81</v>
      </c>
      <c r="E8" s="208">
        <f>'INPUT 2 - INK USAGE &amp; VOC 2010'!G37+'INPUT 2 - INK USAGE &amp; VOC 2010'!G65+'INPUT 2 - INK USAGE &amp; VOC 2010'!G94</f>
        <v>513.8188399104117</v>
      </c>
      <c r="F8" s="12">
        <f>E8/2000</f>
        <v>0.2569094199552059</v>
      </c>
      <c r="G8" s="211"/>
      <c r="H8"/>
      <c r="J8" s="8"/>
      <c r="M8" s="8"/>
      <c r="N8" s="2"/>
    </row>
    <row r="9" spans="1:14" ht="12.75">
      <c r="A9" s="394"/>
      <c r="B9" s="395"/>
      <c r="C9" s="206"/>
      <c r="D9" s="203"/>
      <c r="E9" s="158"/>
      <c r="F9" s="12"/>
      <c r="H9"/>
      <c r="M9" s="6"/>
      <c r="N9" s="13"/>
    </row>
    <row r="10" spans="1:14" s="11" customFormat="1" ht="12.75">
      <c r="A10" s="368" t="s">
        <v>145</v>
      </c>
      <c r="B10" s="368"/>
      <c r="C10" s="203">
        <f>'INPUT 2 - INK USAGE &amp; VOC 2010'!C11</f>
        <v>28127</v>
      </c>
      <c r="D10" s="203">
        <f>'INPUT 2 - INK USAGE &amp; VOC 2010'!D11</f>
        <v>10590.66</v>
      </c>
      <c r="E10" s="46">
        <f>'INPUT 2 - INK USAGE &amp; VOC 2010'!G39+'INPUT 2 - INK USAGE &amp; VOC 2010'!G67+'INPUT 2 - INK USAGE &amp; VOC 2010'!G96</f>
        <v>714.6642901300804</v>
      </c>
      <c r="F10" s="12">
        <f>E10/2000</f>
        <v>0.3573321450650402</v>
      </c>
      <c r="G10" s="211"/>
      <c r="H10"/>
      <c r="J10" s="8"/>
      <c r="M10" s="8"/>
      <c r="N10" s="14"/>
    </row>
    <row r="11" spans="1:14" ht="12.75">
      <c r="A11" s="394"/>
      <c r="B11" s="395"/>
      <c r="C11" s="206"/>
      <c r="D11" s="203"/>
      <c r="E11" s="46"/>
      <c r="F11" s="12"/>
      <c r="H11"/>
      <c r="M11" s="6"/>
      <c r="N11" s="13"/>
    </row>
    <row r="12" spans="1:14" s="11" customFormat="1" ht="12.75">
      <c r="A12" s="368" t="s">
        <v>146</v>
      </c>
      <c r="B12" s="368"/>
      <c r="C12" s="203">
        <f>'INPUT 2 - INK USAGE &amp; VOC 2010'!C13</f>
        <v>40129.5</v>
      </c>
      <c r="D12" s="203">
        <f>'INPUT 2 - INK USAGE &amp; VOC 2010'!D13</f>
        <v>14834.15</v>
      </c>
      <c r="E12" s="46">
        <f>'INPUT 2 - INK USAGE &amp; VOC 2010'!G41+'INPUT 2 - INK USAGE &amp; VOC 2010'!G69+'INPUT 2 - INK USAGE &amp; VOC 2010'!G98</f>
        <v>1001.0176211334452</v>
      </c>
      <c r="F12" s="12">
        <f>E12/2000</f>
        <v>0.5005088105667226</v>
      </c>
      <c r="G12" s="211"/>
      <c r="H12"/>
      <c r="J12" s="8"/>
      <c r="M12" s="8"/>
      <c r="N12" s="14"/>
    </row>
    <row r="13" spans="1:14" ht="12.75">
      <c r="A13" s="394"/>
      <c r="B13" s="395"/>
      <c r="C13" s="207"/>
      <c r="D13" s="203"/>
      <c r="E13" s="46"/>
      <c r="F13" s="12"/>
      <c r="H13"/>
      <c r="M13" s="6"/>
      <c r="N13" s="13"/>
    </row>
    <row r="14" spans="1:14" s="11" customFormat="1" ht="12.75">
      <c r="A14" s="368" t="s">
        <v>147</v>
      </c>
      <c r="B14" s="368"/>
      <c r="C14" s="203">
        <f>'INPUT 2 - INK USAGE &amp; VOC 2010'!C15</f>
        <v>39773</v>
      </c>
      <c r="D14" s="203">
        <f>'INPUT 2 - INK USAGE &amp; VOC 2010'!D15</f>
        <v>14590.99</v>
      </c>
      <c r="E14" s="46">
        <f>'INPUT 2 - INK USAGE &amp; VOC 2010'!G43+'INPUT 2 - INK USAGE &amp; VOC 2010'!G71+'INPUT 2 - INK USAGE &amp; VOC 2010'!G100</f>
        <v>984.6090338699478</v>
      </c>
      <c r="F14" s="12">
        <f>E14/2000</f>
        <v>0.4923045169349739</v>
      </c>
      <c r="G14" s="211"/>
      <c r="H14"/>
      <c r="J14" s="8"/>
      <c r="M14" s="8"/>
      <c r="N14" s="14"/>
    </row>
    <row r="15" spans="1:14" ht="12.75">
      <c r="A15" s="394"/>
      <c r="B15" s="395"/>
      <c r="C15" s="203"/>
      <c r="D15" s="203"/>
      <c r="E15" s="46"/>
      <c r="F15" s="12"/>
      <c r="H15"/>
      <c r="M15" s="6"/>
      <c r="N15" s="13"/>
    </row>
    <row r="16" spans="1:14" s="11" customFormat="1" ht="12.75">
      <c r="A16" s="368" t="s">
        <v>148</v>
      </c>
      <c r="B16" s="368"/>
      <c r="C16" s="203">
        <f>'INPUT 2 - INK USAGE &amp; VOC 2010'!C17</f>
        <v>24857.15</v>
      </c>
      <c r="D16" s="203">
        <f>'INPUT 2 - INK USAGE &amp; VOC 2010'!D17</f>
        <v>8682.11</v>
      </c>
      <c r="E16" s="46">
        <f>'INPUT 2 - INK USAGE &amp; VOC 2010'!G45+'INPUT 2 - INK USAGE &amp; VOC 2010'!G73+'INPUT 2 - INK USAGE &amp; VOC 2010'!G102</f>
        <v>585.8741551500352</v>
      </c>
      <c r="F16" s="12">
        <f>E16/2000</f>
        <v>0.29293707757501763</v>
      </c>
      <c r="G16" s="211"/>
      <c r="H16"/>
      <c r="J16" s="8"/>
      <c r="M16" s="8"/>
      <c r="N16" s="14"/>
    </row>
    <row r="17" spans="1:14" ht="12.75">
      <c r="A17" s="394"/>
      <c r="B17" s="395"/>
      <c r="C17" s="203"/>
      <c r="D17" s="203"/>
      <c r="E17" s="46"/>
      <c r="F17" s="12"/>
      <c r="H17"/>
      <c r="M17" s="6"/>
      <c r="N17" s="13"/>
    </row>
    <row r="18" spans="1:14" s="11" customFormat="1" ht="12.75">
      <c r="A18" s="368" t="s">
        <v>149</v>
      </c>
      <c r="B18" s="368"/>
      <c r="C18" s="205">
        <f>'INPUT 2 - INK USAGE &amp; VOC 2010'!C19</f>
        <v>25916</v>
      </c>
      <c r="D18" s="205">
        <f>'INPUT 2 - INK USAGE &amp; VOC 2010'!D19</f>
        <v>9660.3</v>
      </c>
      <c r="E18" s="46">
        <f>'INPUT 2 - INK USAGE &amp; VOC 2010'!G47+'INPUT 2 - INK USAGE &amp; VOC 2010'!G75+'INPUT 2 - INK USAGE &amp; VOC 2010'!G104</f>
        <v>651.8830216382752</v>
      </c>
      <c r="F18" s="12">
        <f>E18/2000</f>
        <v>0.3259415108191376</v>
      </c>
      <c r="G18" s="211"/>
      <c r="H18"/>
      <c r="J18" s="8"/>
      <c r="M18" s="8"/>
      <c r="N18" s="14"/>
    </row>
    <row r="19" spans="1:14" ht="12.75">
      <c r="A19" s="394"/>
      <c r="B19" s="395"/>
      <c r="C19" s="205"/>
      <c r="D19" s="205"/>
      <c r="E19" s="46"/>
      <c r="F19" s="12"/>
      <c r="H19"/>
      <c r="M19" s="6"/>
      <c r="N19" s="13"/>
    </row>
    <row r="20" spans="1:14" s="11" customFormat="1" ht="12.75">
      <c r="A20" s="368" t="s">
        <v>150</v>
      </c>
      <c r="B20" s="368"/>
      <c r="C20" s="205">
        <f>'INPUT 2 - INK USAGE &amp; VOC 2010'!C21</f>
        <v>24097</v>
      </c>
      <c r="D20" s="205">
        <f>'INPUT 2 - INK USAGE &amp; VOC 2010'!D21</f>
        <v>8724.19</v>
      </c>
      <c r="E20" s="46">
        <f>'INPUT 2 - INK USAGE &amp; VOC 2010'!G49+'INPUT 2 - INK USAGE &amp; VOC 2010'!G77+'INPUT 2 - INK USAGE &amp; VOC 2010'!G106</f>
        <v>588.7137395884624</v>
      </c>
      <c r="F20" s="12">
        <f>E20/2000</f>
        <v>0.2943568697942312</v>
      </c>
      <c r="G20" s="211"/>
      <c r="H20"/>
      <c r="J20" s="8"/>
      <c r="M20" s="8"/>
      <c r="N20" s="14"/>
    </row>
    <row r="21" spans="1:14" ht="12.75">
      <c r="A21" s="394"/>
      <c r="B21" s="395"/>
      <c r="C21" s="205"/>
      <c r="D21" s="205"/>
      <c r="E21" s="46"/>
      <c r="F21" s="12"/>
      <c r="H21"/>
      <c r="M21" s="6"/>
      <c r="N21" s="13"/>
    </row>
    <row r="22" spans="1:14" s="11" customFormat="1" ht="12.75">
      <c r="A22" s="368" t="s">
        <v>151</v>
      </c>
      <c r="B22" s="368"/>
      <c r="C22" s="205">
        <f>'INPUT 2 - INK USAGE &amp; VOC 2010'!C23</f>
        <v>0</v>
      </c>
      <c r="D22" s="205">
        <f>'INPUT 2 - INK USAGE &amp; VOC 2010'!D23</f>
        <v>0</v>
      </c>
      <c r="E22" s="46">
        <f>'INPUT 2 - INK USAGE &amp; VOC 2010'!G51+'INPUT 2 - INK USAGE &amp; VOC 2010'!G79+'INPUT 2 - INK USAGE &amp; VOC 2010'!G108</f>
        <v>0</v>
      </c>
      <c r="F22" s="12">
        <f>E22/2000</f>
        <v>0</v>
      </c>
      <c r="G22" s="211"/>
      <c r="H22"/>
      <c r="J22" s="8"/>
      <c r="M22" s="8"/>
      <c r="N22" s="14"/>
    </row>
    <row r="23" spans="1:14" ht="12.75">
      <c r="A23" s="394"/>
      <c r="B23" s="395"/>
      <c r="C23" s="204"/>
      <c r="D23" s="205"/>
      <c r="E23" s="46"/>
      <c r="F23" s="12"/>
      <c r="H23"/>
      <c r="M23" s="6"/>
      <c r="N23" s="13"/>
    </row>
    <row r="24" spans="1:14" s="11" customFormat="1" ht="12.75">
      <c r="A24" s="368" t="s">
        <v>152</v>
      </c>
      <c r="B24" s="368"/>
      <c r="C24" s="205">
        <f>'INPUT 2 - INK USAGE &amp; VOC 2010'!C25</f>
        <v>0</v>
      </c>
      <c r="D24" s="205">
        <f>'INPUT 2 - INK USAGE &amp; VOC 2010'!D25</f>
        <v>0</v>
      </c>
      <c r="E24" s="46">
        <f>'INPUT 2 - INK USAGE &amp; VOC 2010'!G53+'INPUT 2 - INK USAGE &amp; VOC 2010'!G81+'INPUT 2 - INK USAGE &amp; VOC 2010'!G110</f>
        <v>0</v>
      </c>
      <c r="F24" s="12">
        <f>E24/2000</f>
        <v>0</v>
      </c>
      <c r="G24" s="211"/>
      <c r="H24"/>
      <c r="J24" s="8"/>
      <c r="M24" s="8"/>
      <c r="N24" s="14"/>
    </row>
    <row r="25" spans="1:14" ht="12.75">
      <c r="A25" s="394"/>
      <c r="B25" s="395"/>
      <c r="C25" s="204"/>
      <c r="D25" s="205"/>
      <c r="E25" s="46"/>
      <c r="F25" s="12"/>
      <c r="H25"/>
      <c r="M25" s="6"/>
      <c r="N25" s="13"/>
    </row>
    <row r="26" spans="1:14" s="11" customFormat="1" ht="12.75">
      <c r="A26" s="368" t="s">
        <v>153</v>
      </c>
      <c r="B26" s="368"/>
      <c r="C26" s="205">
        <f>'INPUT 2 - INK USAGE &amp; VOC 2010'!C27</f>
        <v>0</v>
      </c>
      <c r="D26" s="205">
        <f>'INPUT 2 - INK USAGE &amp; VOC 2010'!D27</f>
        <v>0</v>
      </c>
      <c r="E26" s="46">
        <f>'INPUT 2 - INK USAGE &amp; VOC 2010'!G55+'INPUT 2 - INK USAGE &amp; VOC 2010'!G83+'INPUT 2 - INK USAGE &amp; VOC 2010'!G112</f>
        <v>0</v>
      </c>
      <c r="F26" s="12">
        <f>E26/2000</f>
        <v>0</v>
      </c>
      <c r="G26" s="211"/>
      <c r="H26"/>
      <c r="J26" s="8"/>
      <c r="M26" s="8"/>
      <c r="N26" s="14"/>
    </row>
    <row r="27" spans="1:14" s="11" customFormat="1" ht="12.75">
      <c r="A27" s="368"/>
      <c r="B27" s="368"/>
      <c r="C27" s="205"/>
      <c r="D27" s="205"/>
      <c r="E27" s="46"/>
      <c r="F27" s="12"/>
      <c r="G27" s="211"/>
      <c r="H27"/>
      <c r="J27" s="8"/>
      <c r="M27" s="8"/>
      <c r="N27" s="14"/>
    </row>
    <row r="28" spans="1:14" s="11" customFormat="1" ht="12.75">
      <c r="A28" s="368" t="s">
        <v>154</v>
      </c>
      <c r="B28" s="368"/>
      <c r="C28" s="205">
        <f>'INPUT 2 - INK USAGE &amp; VOC 2010'!C29</f>
        <v>0</v>
      </c>
      <c r="D28" s="205">
        <f>'INPUT 2 - INK USAGE &amp; VOC 2010'!D29</f>
        <v>0</v>
      </c>
      <c r="E28" s="46">
        <f>'INPUT 2 - INK USAGE &amp; VOC 2010'!G57+'INPUT 2 - INK USAGE &amp; VOC 2010'!G85+'INPUT 2 - INK USAGE &amp; VOC 2010'!G114</f>
        <v>0</v>
      </c>
      <c r="F28" s="12">
        <f>E28/2000</f>
        <v>0</v>
      </c>
      <c r="G28" s="211"/>
      <c r="H28"/>
      <c r="J28" s="8"/>
      <c r="M28" s="8"/>
      <c r="N28" s="14"/>
    </row>
    <row r="29" spans="1:14" s="11" customFormat="1" ht="12.75">
      <c r="A29" s="368"/>
      <c r="B29" s="368"/>
      <c r="C29" s="205"/>
      <c r="D29" s="205"/>
      <c r="E29" s="46"/>
      <c r="F29" s="12"/>
      <c r="G29" s="211"/>
      <c r="H29"/>
      <c r="J29" s="8"/>
      <c r="M29" s="8"/>
      <c r="N29" s="14"/>
    </row>
    <row r="30" spans="1:14" s="11" customFormat="1" ht="12.75">
      <c r="A30" s="368" t="s">
        <v>155</v>
      </c>
      <c r="B30" s="368"/>
      <c r="C30" s="205">
        <f>'INPUT 2 - INK USAGE &amp; VOC 2010'!C31</f>
        <v>0</v>
      </c>
      <c r="D30" s="205">
        <f>'INPUT 2 - INK USAGE &amp; VOC 2010'!D31</f>
        <v>0</v>
      </c>
      <c r="E30" s="46">
        <f>'INPUT 2 - INK USAGE &amp; VOC 2010'!G59+'INPUT 2 - INK USAGE &amp; VOC 2010'!G87+'INPUT 2 - INK USAGE &amp; VOC 2010'!G116</f>
        <v>0</v>
      </c>
      <c r="F30" s="12">
        <f>E30/2000</f>
        <v>0</v>
      </c>
      <c r="G30" s="211"/>
      <c r="H30"/>
      <c r="J30" s="8"/>
      <c r="M30" s="8"/>
      <c r="N30" s="14"/>
    </row>
    <row r="31" spans="1:14" s="11" customFormat="1" ht="12.75">
      <c r="A31" s="410"/>
      <c r="B31" s="411"/>
      <c r="C31" s="42">
        <f>SUM(C8:C30)</f>
        <v>212409.65</v>
      </c>
      <c r="D31" s="88">
        <f>SUM(D8:D30)</f>
        <v>77762.21</v>
      </c>
      <c r="E31" s="44"/>
      <c r="F31" s="78">
        <f>SUM(F8:F30)</f>
        <v>2.520290350710329</v>
      </c>
      <c r="G31" s="55"/>
      <c r="H31"/>
      <c r="J31" s="8"/>
      <c r="M31" s="8"/>
      <c r="N31" s="14"/>
    </row>
    <row r="32" spans="1:14" s="11" customFormat="1" ht="12.75">
      <c r="A32" s="400"/>
      <c r="B32" s="400"/>
      <c r="C32" s="42"/>
      <c r="D32" s="43"/>
      <c r="E32" s="44"/>
      <c r="F32" s="45"/>
      <c r="G32" s="55"/>
      <c r="H32"/>
      <c r="J32" s="8"/>
      <c r="M32" s="8"/>
      <c r="N32" s="14"/>
    </row>
    <row r="33" spans="1:14" s="11" customFormat="1" ht="12.75">
      <c r="A33" s="399" t="s">
        <v>239</v>
      </c>
      <c r="B33" s="399"/>
      <c r="C33" s="399"/>
      <c r="D33" s="399"/>
      <c r="E33" s="44"/>
      <c r="F33" s="45"/>
      <c r="G33" s="55"/>
      <c r="H33"/>
      <c r="J33" s="8"/>
      <c r="M33" s="8"/>
      <c r="N33" s="14"/>
    </row>
    <row r="34" spans="1:14" s="11" customFormat="1" ht="12.75">
      <c r="A34" s="400" t="str">
        <f>A5</f>
        <v>(EU#1, EU#2 &amp; EU#3)</v>
      </c>
      <c r="B34" s="400"/>
      <c r="C34" s="400"/>
      <c r="D34" s="400"/>
      <c r="E34" s="44"/>
      <c r="F34" s="45"/>
      <c r="G34" s="55"/>
      <c r="H34"/>
      <c r="J34" s="8"/>
      <c r="M34" s="8"/>
      <c r="N34" s="14"/>
    </row>
    <row r="35" spans="1:14" s="11" customFormat="1" ht="16.5" customHeight="1">
      <c r="A35" s="409"/>
      <c r="B35" s="409"/>
      <c r="D35" s="8"/>
      <c r="G35" s="211"/>
      <c r="J35" s="8"/>
      <c r="M35" s="8"/>
      <c r="N35" s="14"/>
    </row>
    <row r="36" spans="1:14" s="11" customFormat="1" ht="43.5" customHeight="1">
      <c r="A36" s="412" t="s">
        <v>62</v>
      </c>
      <c r="B36" s="412"/>
      <c r="C36" s="81" t="s">
        <v>60</v>
      </c>
      <c r="D36" s="81" t="s">
        <v>61</v>
      </c>
      <c r="E36"/>
      <c r="F36"/>
      <c r="G36" s="212"/>
      <c r="H36"/>
      <c r="J36" s="8"/>
      <c r="M36" s="8"/>
      <c r="N36" s="14"/>
    </row>
    <row r="37" spans="1:14" s="11" customFormat="1" ht="15" customHeight="1">
      <c r="A37" s="412"/>
      <c r="B37" s="412"/>
      <c r="C37" s="81" t="s">
        <v>66</v>
      </c>
      <c r="D37" s="79" t="s">
        <v>66</v>
      </c>
      <c r="E37"/>
      <c r="F37"/>
      <c r="G37" s="212"/>
      <c r="H37"/>
      <c r="J37" s="8"/>
      <c r="M37" s="8"/>
      <c r="N37" s="14"/>
    </row>
    <row r="38" spans="1:14" s="11" customFormat="1" ht="12.75">
      <c r="A38" s="368" t="str">
        <f>A8</f>
        <v>Jan</v>
      </c>
      <c r="B38" s="357"/>
      <c r="C38" s="159">
        <f>H72+H89+H106+H125+H143+H161+H180+H198+H215+H232+G249+G266</f>
        <v>0.6463712281989356</v>
      </c>
      <c r="D38" s="159">
        <f>H288+H307+H326+H349+H369+H389+H408+H448</f>
        <v>0.05834886359192589</v>
      </c>
      <c r="E38" s="84"/>
      <c r="F38"/>
      <c r="G38" s="212"/>
      <c r="H38"/>
      <c r="J38" s="8"/>
      <c r="M38" s="8"/>
      <c r="N38" s="14"/>
    </row>
    <row r="39" spans="1:14" s="11" customFormat="1" ht="12.75">
      <c r="A39" s="368"/>
      <c r="B39" s="357"/>
      <c r="C39" s="160"/>
      <c r="D39" s="160"/>
      <c r="E39"/>
      <c r="F39"/>
      <c r="G39" s="212"/>
      <c r="H39"/>
      <c r="J39" s="8"/>
      <c r="M39" s="8"/>
      <c r="N39" s="14"/>
    </row>
    <row r="40" spans="1:14" s="11" customFormat="1" ht="12.75">
      <c r="A40" s="368" t="str">
        <f aca="true" t="shared" si="0" ref="A40:A60">A10</f>
        <v>Feb </v>
      </c>
      <c r="B40" s="357"/>
      <c r="C40" s="159">
        <f>H73+H90+H107+H126+H144+H162+H181+H199+H216+H233+G250+G267</f>
        <v>0.6487978430816341</v>
      </c>
      <c r="D40" s="159">
        <f>H289+H308+H327+H350+H370+H390+'2010 VOC-HAP TRACKING '!H409+'2010 VOC-HAP TRACKING '!H429+'2010 VOC-HAP TRACKING '!H449</f>
        <v>0.03203447628989813</v>
      </c>
      <c r="E40"/>
      <c r="F40"/>
      <c r="G40" s="212"/>
      <c r="H40"/>
      <c r="J40" s="8"/>
      <c r="M40" s="8"/>
      <c r="N40" s="14"/>
    </row>
    <row r="41" spans="1:14" s="11" customFormat="1" ht="12.75">
      <c r="A41" s="368"/>
      <c r="B41" s="357"/>
      <c r="C41" s="160"/>
      <c r="D41" s="160"/>
      <c r="E41"/>
      <c r="F41"/>
      <c r="G41" s="212"/>
      <c r="H41"/>
      <c r="J41" s="8"/>
      <c r="M41" s="8"/>
      <c r="N41" s="14"/>
    </row>
    <row r="42" spans="1:14" s="11" customFormat="1" ht="12.75">
      <c r="A42" s="368" t="str">
        <f t="shared" si="0"/>
        <v>mar</v>
      </c>
      <c r="B42" s="357"/>
      <c r="C42" s="159">
        <f>H74+H91+H108+H127+H145+H163+H182+H200+H217+H234+G251+G268</f>
        <v>1.1849699017279642</v>
      </c>
      <c r="D42" s="159">
        <f>H290+H309+H328+H351+H371+H391+H410+H430+H450</f>
        <v>0.14692040515959254</v>
      </c>
      <c r="E42"/>
      <c r="F42"/>
      <c r="G42" s="212"/>
      <c r="H42"/>
      <c r="J42" s="8"/>
      <c r="M42" s="8"/>
      <c r="N42" s="14"/>
    </row>
    <row r="43" spans="1:14" s="11" customFormat="1" ht="12.75">
      <c r="A43" s="368"/>
      <c r="B43" s="357"/>
      <c r="C43" s="160"/>
      <c r="D43" s="160"/>
      <c r="E43" s="84"/>
      <c r="F43"/>
      <c r="G43" s="212"/>
      <c r="H43"/>
      <c r="J43" s="8"/>
      <c r="M43" s="8"/>
      <c r="N43" s="14"/>
    </row>
    <row r="44" spans="1:14" s="11" customFormat="1" ht="12.75">
      <c r="A44" s="368" t="str">
        <f t="shared" si="0"/>
        <v>Apr</v>
      </c>
      <c r="B44" s="357"/>
      <c r="C44" s="159">
        <f>H75+H92+H109+H128+H146+H164+H183+H201+H218+H235+G252+G269</f>
        <v>0.8640449017279643</v>
      </c>
      <c r="D44" s="159">
        <f>H291+H310+H329+H352+H372+H392+H411+H431+H451</f>
        <v>0.08587728015959255</v>
      </c>
      <c r="E44"/>
      <c r="F44"/>
      <c r="G44" s="212"/>
      <c r="H44"/>
      <c r="J44" s="8"/>
      <c r="M44" s="8"/>
      <c r="N44" s="14"/>
    </row>
    <row r="45" spans="1:14" s="11" customFormat="1" ht="12.75">
      <c r="A45" s="368"/>
      <c r="B45" s="357"/>
      <c r="C45" s="159"/>
      <c r="D45" s="160"/>
      <c r="E45"/>
      <c r="F45"/>
      <c r="G45" s="212"/>
      <c r="H45"/>
      <c r="J45" s="8"/>
      <c r="M45" s="8"/>
      <c r="N45" s="14"/>
    </row>
    <row r="46" spans="1:14" s="11" customFormat="1" ht="12.75">
      <c r="A46" s="368" t="str">
        <f t="shared" si="0"/>
        <v>May</v>
      </c>
      <c r="B46" s="357"/>
      <c r="C46" s="159">
        <f>H76+H93+H110+H129+H147+H165+H184+H202+H219+H236+G253+G270</f>
        <v>0.47362074956925304</v>
      </c>
      <c r="D46" s="159">
        <f>H292+H311+H330+H353+H373+H393+H412+H432+H452</f>
        <v>0.08029962822474535</v>
      </c>
      <c r="E46"/>
      <c r="F46"/>
      <c r="G46" s="212"/>
      <c r="H46"/>
      <c r="J46" s="8"/>
      <c r="M46" s="8"/>
      <c r="N46" s="14"/>
    </row>
    <row r="47" spans="1:14" s="11" customFormat="1" ht="12.75">
      <c r="A47" s="368"/>
      <c r="B47" s="357"/>
      <c r="C47" s="159"/>
      <c r="D47" s="160"/>
      <c r="E47"/>
      <c r="F47"/>
      <c r="G47" s="212"/>
      <c r="H47"/>
      <c r="J47" s="8"/>
      <c r="M47" s="8"/>
      <c r="N47" s="14"/>
    </row>
    <row r="48" spans="1:14" s="11" customFormat="1" ht="12.75">
      <c r="A48" s="368" t="str">
        <f t="shared" si="0"/>
        <v>June </v>
      </c>
      <c r="B48" s="357"/>
      <c r="C48" s="159">
        <f>H77+H94+H111+H130+H148+H166+H185+H203+H220+H237+G254+G271</f>
        <v>0.8340214992167694</v>
      </c>
      <c r="D48" s="159">
        <f>H293+H312+H331+H354+H374+H394+H413+H433+H453</f>
        <v>0.1025159795146435</v>
      </c>
      <c r="E48"/>
      <c r="F48"/>
      <c r="G48" s="212"/>
      <c r="H48"/>
      <c r="J48" s="8"/>
      <c r="M48" s="8"/>
      <c r="N48" s="14"/>
    </row>
    <row r="49" spans="1:14" s="11" customFormat="1" ht="12.75">
      <c r="A49" s="368"/>
      <c r="B49" s="357"/>
      <c r="C49" s="159"/>
      <c r="D49" s="160"/>
      <c r="E49"/>
      <c r="F49"/>
      <c r="G49" s="212"/>
      <c r="H49"/>
      <c r="J49" s="8"/>
      <c r="M49" s="8"/>
      <c r="N49" s="14"/>
    </row>
    <row r="50" spans="1:14" s="11" customFormat="1" ht="12.75">
      <c r="A50" s="368" t="str">
        <f t="shared" si="0"/>
        <v>July </v>
      </c>
      <c r="B50" s="357"/>
      <c r="C50" s="159">
        <f>H78+H95+H112+H131+H149+H167+H186+H204+H221+H238+G255+G272</f>
        <v>0.5658964992167692</v>
      </c>
      <c r="D50" s="159">
        <f>H294+H313+H332+H355+H375+H395+H414+H434+H454</f>
        <v>0.09547254201464349</v>
      </c>
      <c r="E50"/>
      <c r="F50"/>
      <c r="G50" s="212"/>
      <c r="H50"/>
      <c r="J50" s="8"/>
      <c r="M50" s="8"/>
      <c r="N50" s="14"/>
    </row>
    <row r="51" spans="1:14" s="11" customFormat="1" ht="12.75">
      <c r="A51" s="368"/>
      <c r="B51" s="357"/>
      <c r="C51" s="160"/>
      <c r="D51" s="160"/>
      <c r="E51"/>
      <c r="F51"/>
      <c r="G51" s="212"/>
      <c r="H51"/>
      <c r="J51" s="8"/>
      <c r="M51" s="8"/>
      <c r="N51" s="14"/>
    </row>
    <row r="52" spans="1:14" s="11" customFormat="1" ht="12.75">
      <c r="A52" s="368" t="str">
        <f t="shared" si="0"/>
        <v>Aug </v>
      </c>
      <c r="B52" s="357"/>
      <c r="C52" s="159">
        <f>H79+H96+H113+H132+H150+H168+H187+H205+H222+H239+G256+G273</f>
        <v>0</v>
      </c>
      <c r="D52" s="159">
        <f>H295+H314+H333+H356+H376+H396+H415+H435+H455</f>
        <v>0</v>
      </c>
      <c r="E52"/>
      <c r="F52"/>
      <c r="G52" s="212"/>
      <c r="H52"/>
      <c r="J52" s="8"/>
      <c r="M52" s="8"/>
      <c r="N52" s="14"/>
    </row>
    <row r="53" spans="1:14" s="11" customFormat="1" ht="12.75">
      <c r="A53" s="368"/>
      <c r="B53" s="357"/>
      <c r="C53" s="160"/>
      <c r="D53" s="160"/>
      <c r="E53"/>
      <c r="F53"/>
      <c r="G53" s="212"/>
      <c r="H53"/>
      <c r="J53" s="8"/>
      <c r="M53" s="8"/>
      <c r="N53" s="14"/>
    </row>
    <row r="54" spans="1:14" s="11" customFormat="1" ht="12.75">
      <c r="A54" s="368" t="str">
        <f t="shared" si="0"/>
        <v>Sep</v>
      </c>
      <c r="B54" s="357"/>
      <c r="C54" s="159">
        <f>H80+H97+H114+H133+H151+H169+H188+H206+H223+H240+G257+G274</f>
        <v>0</v>
      </c>
      <c r="D54" s="159">
        <f>H296+H315+H334+H357+H377+H397+H416+H436+H456</f>
        <v>0</v>
      </c>
      <c r="E54"/>
      <c r="F54"/>
      <c r="G54" s="212"/>
      <c r="H54"/>
      <c r="J54" s="8"/>
      <c r="M54" s="8"/>
      <c r="N54" s="14"/>
    </row>
    <row r="55" spans="1:14" s="11" customFormat="1" ht="12.75">
      <c r="A55" s="368"/>
      <c r="B55" s="357"/>
      <c r="C55" s="160"/>
      <c r="D55" s="160"/>
      <c r="E55"/>
      <c r="F55"/>
      <c r="G55" s="212"/>
      <c r="H55"/>
      <c r="J55" s="8"/>
      <c r="M55" s="8"/>
      <c r="N55" s="14"/>
    </row>
    <row r="56" spans="1:14" s="11" customFormat="1" ht="12.75">
      <c r="A56" s="368" t="str">
        <f t="shared" si="0"/>
        <v>Oct</v>
      </c>
      <c r="B56" s="357"/>
      <c r="C56" s="159">
        <f>H81+H98+H115+H134+H152+H170+H189+H207+H224+H241+G258+G275</f>
        <v>0</v>
      </c>
      <c r="D56" s="159">
        <f>H297+H316+H335+H358+H378+H398+H417+H437+H457</f>
        <v>0</v>
      </c>
      <c r="E56"/>
      <c r="F56"/>
      <c r="G56" s="212"/>
      <c r="H56"/>
      <c r="J56" s="8"/>
      <c r="M56" s="8"/>
      <c r="N56" s="14"/>
    </row>
    <row r="57" spans="1:14" s="11" customFormat="1" ht="12.75">
      <c r="A57" s="368"/>
      <c r="B57" s="357"/>
      <c r="C57" s="160"/>
      <c r="D57" s="160"/>
      <c r="E57"/>
      <c r="F57"/>
      <c r="G57" s="212"/>
      <c r="H57"/>
      <c r="J57" s="8"/>
      <c r="M57" s="8"/>
      <c r="N57" s="14"/>
    </row>
    <row r="58" spans="1:14" s="11" customFormat="1" ht="12.75">
      <c r="A58" s="368" t="str">
        <f t="shared" si="0"/>
        <v>Nov </v>
      </c>
      <c r="B58" s="357"/>
      <c r="C58" s="159">
        <f>H82+H99+H116+H135+H153+H171+H190+H208+H225+H242+G259+G276</f>
        <v>0</v>
      </c>
      <c r="D58" s="159">
        <f>H298+H317+H336+H359+H379+H399+H418+H438+H458</f>
        <v>0</v>
      </c>
      <c r="E58"/>
      <c r="F58"/>
      <c r="G58" s="212"/>
      <c r="H58"/>
      <c r="J58" s="8"/>
      <c r="M58" s="8"/>
      <c r="N58" s="14"/>
    </row>
    <row r="59" spans="1:14" s="11" customFormat="1" ht="12.75">
      <c r="A59" s="368"/>
      <c r="B59" s="357"/>
      <c r="C59" s="160"/>
      <c r="D59" s="160"/>
      <c r="E59"/>
      <c r="F59" s="83"/>
      <c r="G59" s="212"/>
      <c r="H59"/>
      <c r="J59" s="8"/>
      <c r="M59" s="8"/>
      <c r="N59" s="14"/>
    </row>
    <row r="60" spans="1:14" s="11" customFormat="1" ht="12.75">
      <c r="A60" s="368" t="str">
        <f t="shared" si="0"/>
        <v>Dec</v>
      </c>
      <c r="B60" s="357"/>
      <c r="C60" s="159">
        <f>H83+H100+H117+H136+H154+H172+H191+H209+H226+H243+G260+G277</f>
        <v>0</v>
      </c>
      <c r="D60" s="159">
        <f>H299+H318+H337+H360+H380+H400+H419+H439+H459</f>
        <v>0</v>
      </c>
      <c r="E60"/>
      <c r="F60"/>
      <c r="G60" s="212"/>
      <c r="H60"/>
      <c r="J60" s="8"/>
      <c r="M60" s="8"/>
      <c r="N60" s="14"/>
    </row>
    <row r="61" spans="1:14" s="11" customFormat="1" ht="12.75">
      <c r="A61" s="40"/>
      <c r="B61" s="41"/>
      <c r="C61" s="82">
        <f>SUM(C38:C60)</f>
        <v>5.21772262273929</v>
      </c>
      <c r="D61" s="43">
        <f>SUM(D38:D60)</f>
        <v>0.6014691749550415</v>
      </c>
      <c r="E61" s="85"/>
      <c r="F61" s="45"/>
      <c r="G61" s="55"/>
      <c r="H61"/>
      <c r="J61" s="8"/>
      <c r="M61" s="8"/>
      <c r="N61" s="14"/>
    </row>
    <row r="62" spans="1:14" s="11" customFormat="1" ht="12.75">
      <c r="A62" s="40"/>
      <c r="B62" s="41"/>
      <c r="C62" s="42"/>
      <c r="D62" s="43"/>
      <c r="E62" s="44"/>
      <c r="F62" s="45"/>
      <c r="G62" s="55"/>
      <c r="H62"/>
      <c r="J62" s="8"/>
      <c r="M62" s="8"/>
      <c r="N62" s="14"/>
    </row>
    <row r="63" spans="3:14" ht="12.75">
      <c r="C63"/>
      <c r="E63"/>
      <c r="F63"/>
      <c r="G63" s="212"/>
      <c r="H63"/>
      <c r="M63" s="16"/>
      <c r="N63" s="17"/>
    </row>
    <row r="64" spans="1:8" ht="12.75">
      <c r="A64" s="47"/>
      <c r="B64" s="24"/>
      <c r="C64" s="24"/>
      <c r="D64" s="24"/>
      <c r="E64" s="24"/>
      <c r="F64" s="24"/>
      <c r="G64" s="213"/>
      <c r="H64" s="24"/>
    </row>
    <row r="65" spans="1:14" s="4" customFormat="1" ht="13.5" thickBot="1">
      <c r="A65" s="53"/>
      <c r="B65" s="53"/>
      <c r="C65" s="53"/>
      <c r="D65" s="80"/>
      <c r="E65" s="53"/>
      <c r="F65" s="53"/>
      <c r="G65" s="214"/>
      <c r="H65" s="53"/>
      <c r="I65" s="7"/>
      <c r="J65" s="2"/>
      <c r="N65" s="2"/>
    </row>
    <row r="66" spans="1:14" s="4" customFormat="1" ht="12.75" thickBot="1">
      <c r="A66" s="375" t="s">
        <v>214</v>
      </c>
      <c r="B66" s="376"/>
      <c r="C66" s="376"/>
      <c r="D66" s="376"/>
      <c r="E66" s="376"/>
      <c r="F66" s="376"/>
      <c r="G66" s="376"/>
      <c r="H66" s="377"/>
      <c r="I66" s="7"/>
      <c r="J66" s="2"/>
      <c r="N66" s="2"/>
    </row>
    <row r="67" spans="1:14" s="4" customFormat="1" ht="13.5" thickBot="1" thickTop="1">
      <c r="A67" s="404" t="s">
        <v>63</v>
      </c>
      <c r="B67" s="405"/>
      <c r="C67" s="405"/>
      <c r="D67" s="405"/>
      <c r="E67" s="405"/>
      <c r="F67" s="405"/>
      <c r="G67" s="405"/>
      <c r="H67" s="406"/>
      <c r="I67" s="7"/>
      <c r="J67" s="2"/>
      <c r="N67" s="2"/>
    </row>
    <row r="68" spans="1:14" s="4" customFormat="1" ht="12.75" thickBot="1">
      <c r="A68" s="25"/>
      <c r="B68" s="26"/>
      <c r="C68" s="26"/>
      <c r="D68" s="26"/>
      <c r="E68" s="27"/>
      <c r="F68" s="27"/>
      <c r="G68" s="215"/>
      <c r="H68" s="27"/>
      <c r="I68" s="7"/>
      <c r="J68" s="2"/>
      <c r="N68" s="2"/>
    </row>
    <row r="69" spans="1:8" ht="13.5" thickBot="1">
      <c r="A69" s="369" t="s">
        <v>196</v>
      </c>
      <c r="B69" s="370"/>
      <c r="C69" s="370"/>
      <c r="D69" s="370"/>
      <c r="E69" s="370"/>
      <c r="F69" s="370"/>
      <c r="G69" s="370"/>
      <c r="H69" s="371"/>
    </row>
    <row r="70" spans="1:14" s="4" customFormat="1" ht="36.75" thickBot="1">
      <c r="A70" s="18" t="s">
        <v>6</v>
      </c>
      <c r="B70" s="19" t="s">
        <v>7</v>
      </c>
      <c r="C70" s="19" t="s">
        <v>8</v>
      </c>
      <c r="D70" s="19" t="s">
        <v>9</v>
      </c>
      <c r="E70" s="20" t="s">
        <v>10</v>
      </c>
      <c r="F70" s="20" t="s">
        <v>3</v>
      </c>
      <c r="G70" s="216" t="s">
        <v>4</v>
      </c>
      <c r="H70" s="20" t="s">
        <v>5</v>
      </c>
      <c r="I70" s="7"/>
      <c r="J70" s="2"/>
      <c r="N70" s="2"/>
    </row>
    <row r="71" spans="1:14" s="4" customFormat="1" ht="14.25" customHeight="1" thickBot="1">
      <c r="A71" s="359" t="s">
        <v>57</v>
      </c>
      <c r="B71" s="362"/>
      <c r="C71" s="362"/>
      <c r="D71" s="362"/>
      <c r="E71" s="362"/>
      <c r="F71" s="362"/>
      <c r="G71" s="362"/>
      <c r="H71" s="363"/>
      <c r="I71" s="7"/>
      <c r="J71" s="2"/>
      <c r="N71" s="2"/>
    </row>
    <row r="72" spans="1:14" s="4" customFormat="1" ht="12.75" customHeight="1">
      <c r="A72" s="93" t="s">
        <v>143</v>
      </c>
      <c r="B72" s="61">
        <f>'INPUT 1 - 2010 MATERIAL USAGE'!B10*'% PRODUCTION'!F5</f>
        <v>71.78776241829263</v>
      </c>
      <c r="C72" s="22">
        <v>3.12</v>
      </c>
      <c r="D72" s="61">
        <f aca="true" t="shared" si="1" ref="D72:D83">B72*9.013</f>
        <v>647.0231026760715</v>
      </c>
      <c r="E72" s="22">
        <f aca="true" t="shared" si="2" ref="E72:E83">B72*C72</f>
        <v>223.97781874507302</v>
      </c>
      <c r="F72" s="63">
        <v>0.37</v>
      </c>
      <c r="G72" s="70">
        <f>F72*E72</f>
        <v>82.87179293567702</v>
      </c>
      <c r="H72" s="64">
        <f aca="true" t="shared" si="3" ref="H72:H83">G72/2000</f>
        <v>0.04143589646783851</v>
      </c>
      <c r="I72" s="7"/>
      <c r="J72" s="2"/>
      <c r="N72" s="2"/>
    </row>
    <row r="73" spans="1:14" s="4" customFormat="1" ht="12" customHeight="1">
      <c r="A73" s="93" t="s">
        <v>156</v>
      </c>
      <c r="B73" s="61">
        <f>'INPUT 1 - 2010 MATERIAL USAGE'!C10*'% PRODUCTION'!F5</f>
        <v>23.929254139430878</v>
      </c>
      <c r="C73" s="22">
        <v>3.12</v>
      </c>
      <c r="D73" s="61">
        <f t="shared" si="1"/>
        <v>215.6743675586905</v>
      </c>
      <c r="E73" s="22">
        <f t="shared" si="2"/>
        <v>74.65927291502435</v>
      </c>
      <c r="F73" s="63">
        <v>0.37</v>
      </c>
      <c r="G73" s="70">
        <f aca="true" t="shared" si="4" ref="G73:G83">F73*E73</f>
        <v>27.623930978559006</v>
      </c>
      <c r="H73" s="64">
        <f t="shared" si="3"/>
        <v>0.013811965489279503</v>
      </c>
      <c r="I73" s="7"/>
      <c r="J73" s="2"/>
      <c r="N73" s="2"/>
    </row>
    <row r="74" spans="1:14" s="4" customFormat="1" ht="12">
      <c r="A74" s="93" t="s">
        <v>157</v>
      </c>
      <c r="B74" s="61">
        <f>'INPUT 1 - 2010 MATERIAL USAGE'!D10*'% PRODUCTION'!F5</f>
        <v>95.71701655772351</v>
      </c>
      <c r="C74" s="22">
        <v>3.12</v>
      </c>
      <c r="D74" s="61">
        <f t="shared" si="1"/>
        <v>862.697470234762</v>
      </c>
      <c r="E74" s="22">
        <f t="shared" si="2"/>
        <v>298.6370916600974</v>
      </c>
      <c r="F74" s="63">
        <v>0.37</v>
      </c>
      <c r="G74" s="70">
        <f t="shared" si="4"/>
        <v>110.49572391423602</v>
      </c>
      <c r="H74" s="64">
        <f t="shared" si="3"/>
        <v>0.05524786195711801</v>
      </c>
      <c r="I74" s="7"/>
      <c r="J74" s="2"/>
      <c r="N74" s="2"/>
    </row>
    <row r="75" spans="1:14" s="4" customFormat="1" ht="12">
      <c r="A75" s="93" t="s">
        <v>147</v>
      </c>
      <c r="B75" s="61">
        <f>'INPUT 1 - 2010 MATERIAL USAGE'!E10*'% PRODUCTION'!F5</f>
        <v>95.71701655772351</v>
      </c>
      <c r="C75" s="22">
        <v>3.12</v>
      </c>
      <c r="D75" s="61">
        <f t="shared" si="1"/>
        <v>862.697470234762</v>
      </c>
      <c r="E75" s="22">
        <f t="shared" si="2"/>
        <v>298.6370916600974</v>
      </c>
      <c r="F75" s="63">
        <v>0.37</v>
      </c>
      <c r="G75" s="70">
        <f t="shared" si="4"/>
        <v>110.49572391423602</v>
      </c>
      <c r="H75" s="64">
        <f t="shared" si="3"/>
        <v>0.05524786195711801</v>
      </c>
      <c r="I75" s="7"/>
      <c r="J75" s="2"/>
      <c r="N75" s="2"/>
    </row>
    <row r="76" spans="1:14" s="4" customFormat="1" ht="12">
      <c r="A76" s="93" t="s">
        <v>148</v>
      </c>
      <c r="B76" s="61">
        <f>'INPUT 1 - 2010 MATERIAL USAGE'!F10*'% PRODUCTION'!F5</f>
        <v>59.82313534857719</v>
      </c>
      <c r="C76" s="22">
        <v>3.12</v>
      </c>
      <c r="D76" s="61">
        <f t="shared" si="1"/>
        <v>539.1859188967262</v>
      </c>
      <c r="E76" s="22">
        <f t="shared" si="2"/>
        <v>186.64818228756084</v>
      </c>
      <c r="F76" s="63">
        <v>0.37</v>
      </c>
      <c r="G76" s="70">
        <f t="shared" si="4"/>
        <v>69.0598274463975</v>
      </c>
      <c r="H76" s="64">
        <f t="shared" si="3"/>
        <v>0.03452991372319875</v>
      </c>
      <c r="I76" s="7"/>
      <c r="J76" s="2"/>
      <c r="N76" s="2"/>
    </row>
    <row r="77" spans="1:14" s="4" customFormat="1" ht="12">
      <c r="A77" s="93" t="s">
        <v>158</v>
      </c>
      <c r="B77" s="61">
        <f>'INPUT 1 - 2010 MATERIAL USAGE'!G10*'% PRODUCTION'!F5</f>
        <v>83.75238948800806</v>
      </c>
      <c r="C77" s="22">
        <v>3.12</v>
      </c>
      <c r="D77" s="61">
        <f t="shared" si="1"/>
        <v>754.8602864554167</v>
      </c>
      <c r="E77" s="22">
        <f t="shared" si="2"/>
        <v>261.3074552025852</v>
      </c>
      <c r="F77" s="63">
        <v>0.37</v>
      </c>
      <c r="G77" s="70">
        <f t="shared" si="4"/>
        <v>96.68375842495651</v>
      </c>
      <c r="H77" s="64">
        <f t="shared" si="3"/>
        <v>0.048341879212478255</v>
      </c>
      <c r="I77" s="7"/>
      <c r="J77" s="2"/>
      <c r="N77" s="2"/>
    </row>
    <row r="78" spans="1:14" s="4" customFormat="1" ht="12">
      <c r="A78" s="93" t="s">
        <v>159</v>
      </c>
      <c r="B78" s="61">
        <f>'INPUT 1 - 2010 MATERIAL USAGE'!H10*'% PRODUCTION'!$F$5</f>
        <v>83.75238948800806</v>
      </c>
      <c r="C78" s="22">
        <v>3.12</v>
      </c>
      <c r="D78" s="61">
        <f t="shared" si="1"/>
        <v>754.8602864554167</v>
      </c>
      <c r="E78" s="22">
        <f t="shared" si="2"/>
        <v>261.3074552025852</v>
      </c>
      <c r="F78" s="63">
        <v>0.37</v>
      </c>
      <c r="G78" s="70">
        <f t="shared" si="4"/>
        <v>96.68375842495651</v>
      </c>
      <c r="H78" s="64">
        <f t="shared" si="3"/>
        <v>0.048341879212478255</v>
      </c>
      <c r="I78" s="7"/>
      <c r="J78" s="2"/>
      <c r="N78" s="2"/>
    </row>
    <row r="79" spans="1:14" s="4" customFormat="1" ht="12">
      <c r="A79" s="93" t="s">
        <v>160</v>
      </c>
      <c r="B79" s="61">
        <f>'INPUT 1 - 2010 MATERIAL USAGE'!I10*'% PRODUCTION'!$F$5</f>
        <v>0</v>
      </c>
      <c r="C79" s="22">
        <v>3.12</v>
      </c>
      <c r="D79" s="61">
        <f t="shared" si="1"/>
        <v>0</v>
      </c>
      <c r="E79" s="22">
        <f t="shared" si="2"/>
        <v>0</v>
      </c>
      <c r="F79" s="63">
        <v>0.37</v>
      </c>
      <c r="G79" s="70">
        <f t="shared" si="4"/>
        <v>0</v>
      </c>
      <c r="H79" s="64">
        <f t="shared" si="3"/>
        <v>0</v>
      </c>
      <c r="I79" s="7"/>
      <c r="J79" s="2"/>
      <c r="N79" s="2"/>
    </row>
    <row r="80" spans="1:14" s="4" customFormat="1" ht="12">
      <c r="A80" s="93" t="s">
        <v>152</v>
      </c>
      <c r="B80" s="61">
        <f>'INPUT 1 - 2010 MATERIAL USAGE'!J10*'% PRODUCTION'!$F$5</f>
        <v>0</v>
      </c>
      <c r="C80" s="22">
        <v>3.12</v>
      </c>
      <c r="D80" s="61">
        <f t="shared" si="1"/>
        <v>0</v>
      </c>
      <c r="E80" s="22">
        <f t="shared" si="2"/>
        <v>0</v>
      </c>
      <c r="F80" s="63">
        <v>0.37</v>
      </c>
      <c r="G80" s="70">
        <f t="shared" si="4"/>
        <v>0</v>
      </c>
      <c r="H80" s="64">
        <f t="shared" si="3"/>
        <v>0</v>
      </c>
      <c r="I80" s="7"/>
      <c r="J80" s="2"/>
      <c r="N80" s="2"/>
    </row>
    <row r="81" spans="1:14" s="4" customFormat="1" ht="12">
      <c r="A81" s="93" t="s">
        <v>153</v>
      </c>
      <c r="B81" s="61">
        <f>'INPUT 1 - 2010 MATERIAL USAGE'!K10*'% PRODUCTION'!$F$5</f>
        <v>0</v>
      </c>
      <c r="C81" s="22">
        <v>3.12</v>
      </c>
      <c r="D81" s="61">
        <f t="shared" si="1"/>
        <v>0</v>
      </c>
      <c r="E81" s="22">
        <f t="shared" si="2"/>
        <v>0</v>
      </c>
      <c r="F81" s="63">
        <v>0.37</v>
      </c>
      <c r="G81" s="70">
        <f t="shared" si="4"/>
        <v>0</v>
      </c>
      <c r="H81" s="64">
        <f t="shared" si="3"/>
        <v>0</v>
      </c>
      <c r="I81" s="7"/>
      <c r="J81" s="2"/>
      <c r="N81" s="2"/>
    </row>
    <row r="82" spans="1:14" s="4" customFormat="1" ht="12">
      <c r="A82" s="93" t="s">
        <v>161</v>
      </c>
      <c r="B82" s="61">
        <f>'INPUT 1 - 2010 MATERIAL USAGE'!L10*'% PRODUCTION'!$F$5</f>
        <v>0</v>
      </c>
      <c r="C82" s="22">
        <v>3.12</v>
      </c>
      <c r="D82" s="61">
        <f t="shared" si="1"/>
        <v>0</v>
      </c>
      <c r="E82" s="22">
        <f t="shared" si="2"/>
        <v>0</v>
      </c>
      <c r="F82" s="63">
        <v>0.37</v>
      </c>
      <c r="G82" s="70">
        <f t="shared" si="4"/>
        <v>0</v>
      </c>
      <c r="H82" s="64">
        <f t="shared" si="3"/>
        <v>0</v>
      </c>
      <c r="I82" s="7"/>
      <c r="J82" s="2"/>
      <c r="N82" s="2"/>
    </row>
    <row r="83" spans="1:14" s="4" customFormat="1" ht="12.75" thickBot="1">
      <c r="A83" s="93" t="s">
        <v>155</v>
      </c>
      <c r="B83" s="61">
        <f>'INPUT 1 - 2010 MATERIAL USAGE'!M10*'% PRODUCTION'!$F$5</f>
        <v>0</v>
      </c>
      <c r="C83" s="22">
        <v>3.12</v>
      </c>
      <c r="D83" s="61">
        <f t="shared" si="1"/>
        <v>0</v>
      </c>
      <c r="E83" s="22">
        <f t="shared" si="2"/>
        <v>0</v>
      </c>
      <c r="F83" s="63">
        <v>0.37</v>
      </c>
      <c r="G83" s="70">
        <f t="shared" si="4"/>
        <v>0</v>
      </c>
      <c r="H83" s="64">
        <f t="shared" si="3"/>
        <v>0</v>
      </c>
      <c r="I83" s="7"/>
      <c r="J83" s="2"/>
      <c r="N83" s="2"/>
    </row>
    <row r="84" spans="1:14" s="4" customFormat="1" ht="13.5" thickBot="1" thickTop="1">
      <c r="A84" s="65" t="s">
        <v>11</v>
      </c>
      <c r="B84" s="74">
        <f>SUM(B72:B83)</f>
        <v>514.4789639977638</v>
      </c>
      <c r="C84" s="74"/>
      <c r="D84" s="74">
        <f>SUM(D72:D83)</f>
        <v>4636.998902511846</v>
      </c>
      <c r="E84" s="74">
        <f>SUM(E72:E83)</f>
        <v>1605.174367673023</v>
      </c>
      <c r="F84" s="74"/>
      <c r="G84" s="74">
        <f>SUM(G72:G83)</f>
        <v>593.9145160390186</v>
      </c>
      <c r="H84" s="75">
        <f>SUM(H72:H83)</f>
        <v>0.2969572580195093</v>
      </c>
      <c r="I84" s="7"/>
      <c r="J84" s="2"/>
      <c r="N84" s="2"/>
    </row>
    <row r="85" spans="1:14" s="4" customFormat="1" ht="12.75" thickBot="1">
      <c r="A85" s="33"/>
      <c r="B85" s="28"/>
      <c r="C85" s="28"/>
      <c r="D85" s="28"/>
      <c r="E85" s="28"/>
      <c r="F85" s="35"/>
      <c r="G85" s="55"/>
      <c r="H85" s="34"/>
      <c r="I85" s="7"/>
      <c r="J85" s="2"/>
      <c r="N85" s="2"/>
    </row>
    <row r="86" spans="1:14" s="4" customFormat="1" ht="12.75" thickBot="1">
      <c r="A86" s="369" t="s">
        <v>197</v>
      </c>
      <c r="B86" s="370"/>
      <c r="C86" s="370"/>
      <c r="D86" s="370"/>
      <c r="E86" s="370"/>
      <c r="F86" s="370"/>
      <c r="G86" s="370"/>
      <c r="H86" s="371"/>
      <c r="I86" s="7"/>
      <c r="J86" s="2"/>
      <c r="N86" s="2"/>
    </row>
    <row r="87" spans="1:14" s="4" customFormat="1" ht="36.75" thickBot="1">
      <c r="A87" s="50" t="s">
        <v>6</v>
      </c>
      <c r="B87" s="51" t="s">
        <v>7</v>
      </c>
      <c r="C87" s="51" t="s">
        <v>8</v>
      </c>
      <c r="D87" s="51" t="s">
        <v>9</v>
      </c>
      <c r="E87" s="52" t="s">
        <v>10</v>
      </c>
      <c r="F87" s="52" t="s">
        <v>3</v>
      </c>
      <c r="G87" s="217" t="s">
        <v>4</v>
      </c>
      <c r="H87" s="52" t="s">
        <v>5</v>
      </c>
      <c r="I87" s="7"/>
      <c r="J87" s="2"/>
      <c r="N87" s="2"/>
    </row>
    <row r="88" spans="1:14" s="4" customFormat="1" ht="12.75" thickBot="1">
      <c r="A88" s="359" t="s">
        <v>57</v>
      </c>
      <c r="B88" s="362"/>
      <c r="C88" s="362"/>
      <c r="D88" s="362"/>
      <c r="E88" s="362"/>
      <c r="F88" s="362"/>
      <c r="G88" s="362"/>
      <c r="H88" s="363"/>
      <c r="I88" s="7"/>
      <c r="J88" s="2"/>
      <c r="N88" s="2"/>
    </row>
    <row r="89" spans="1:14" s="4" customFormat="1" ht="12">
      <c r="A89" s="93" t="str">
        <f>A72</f>
        <v>Jan</v>
      </c>
      <c r="B89" s="61">
        <f>'INPUT 1 - 2010 MATERIAL USAGE'!B10*'% PRODUCTION'!F6</f>
        <v>171.6611517810308</v>
      </c>
      <c r="C89" s="22">
        <v>3.12</v>
      </c>
      <c r="D89" s="61">
        <f aca="true" t="shared" si="5" ref="D89:D100">B89*9.013</f>
        <v>1547.1819610024306</v>
      </c>
      <c r="E89" s="22">
        <f aca="true" t="shared" si="6" ref="E89:E100">B89*C89</f>
        <v>535.5827935568161</v>
      </c>
      <c r="F89" s="63">
        <v>0.36</v>
      </c>
      <c r="G89" s="70">
        <f>F89*E89</f>
        <v>192.8098056804538</v>
      </c>
      <c r="H89" s="64">
        <f aca="true" t="shared" si="7" ref="H89:H100">G89/2000</f>
        <v>0.0964049028402269</v>
      </c>
      <c r="I89" s="7"/>
      <c r="J89" s="2"/>
      <c r="N89" s="2"/>
    </row>
    <row r="90" spans="1:14" s="32" customFormat="1" ht="12">
      <c r="A90" s="93" t="str">
        <f aca="true" t="shared" si="8" ref="A90:A100">A73</f>
        <v>Feb</v>
      </c>
      <c r="B90" s="61">
        <f>'INPUT 1 - 2010 MATERIAL USAGE'!C10*'% PRODUCTION'!F6</f>
        <v>57.22038392701027</v>
      </c>
      <c r="C90" s="22">
        <v>3.12</v>
      </c>
      <c r="D90" s="61">
        <f t="shared" si="5"/>
        <v>515.7273203341435</v>
      </c>
      <c r="E90" s="22">
        <f t="shared" si="6"/>
        <v>178.52759785227204</v>
      </c>
      <c r="F90" s="63">
        <v>0.36</v>
      </c>
      <c r="G90" s="70">
        <f aca="true" t="shared" si="9" ref="G90:G100">F90*E90</f>
        <v>64.26993522681794</v>
      </c>
      <c r="H90" s="64">
        <f t="shared" si="7"/>
        <v>0.03213496761340897</v>
      </c>
      <c r="I90" s="30"/>
      <c r="J90" s="31"/>
      <c r="N90" s="31"/>
    </row>
    <row r="91" spans="1:14" s="4" customFormat="1" ht="12">
      <c r="A91" s="93" t="str">
        <f t="shared" si="8"/>
        <v>Mar</v>
      </c>
      <c r="B91" s="61">
        <f>'INPUT 1 - 2010 MATERIAL USAGE'!D10*'% PRODUCTION'!F6</f>
        <v>228.88153570804107</v>
      </c>
      <c r="C91" s="22">
        <v>3.12</v>
      </c>
      <c r="D91" s="61">
        <f t="shared" si="5"/>
        <v>2062.909281336574</v>
      </c>
      <c r="E91" s="22">
        <f t="shared" si="6"/>
        <v>714.1103914090882</v>
      </c>
      <c r="F91" s="63">
        <v>0.36</v>
      </c>
      <c r="G91" s="70">
        <f t="shared" si="9"/>
        <v>257.07974090727174</v>
      </c>
      <c r="H91" s="64">
        <f t="shared" si="7"/>
        <v>0.12853987045363588</v>
      </c>
      <c r="I91" s="7"/>
      <c r="J91" s="2"/>
      <c r="N91" s="2"/>
    </row>
    <row r="92" spans="1:14" s="4" customFormat="1" ht="12">
      <c r="A92" s="93" t="str">
        <f t="shared" si="8"/>
        <v>Apr</v>
      </c>
      <c r="B92" s="61">
        <f>'INPUT 1 - 2010 MATERIAL USAGE'!E10*'% PRODUCTION'!F6</f>
        <v>228.88153570804107</v>
      </c>
      <c r="C92" s="22">
        <v>3.12</v>
      </c>
      <c r="D92" s="61">
        <f t="shared" si="5"/>
        <v>2062.909281336574</v>
      </c>
      <c r="E92" s="22">
        <f t="shared" si="6"/>
        <v>714.1103914090882</v>
      </c>
      <c r="F92" s="63">
        <v>0.36</v>
      </c>
      <c r="G92" s="70">
        <f t="shared" si="9"/>
        <v>257.07974090727174</v>
      </c>
      <c r="H92" s="64">
        <f t="shared" si="7"/>
        <v>0.12853987045363588</v>
      </c>
      <c r="I92" s="7"/>
      <c r="J92" s="2"/>
      <c r="N92" s="2"/>
    </row>
    <row r="93" spans="1:14" s="4" customFormat="1" ht="12">
      <c r="A93" s="93" t="str">
        <f t="shared" si="8"/>
        <v>May</v>
      </c>
      <c r="B93" s="61">
        <f>'INPUT 1 - 2010 MATERIAL USAGE'!F10*'% PRODUCTION'!F6</f>
        <v>143.05095981752567</v>
      </c>
      <c r="C93" s="22">
        <v>3.12</v>
      </c>
      <c r="D93" s="61">
        <f t="shared" si="5"/>
        <v>1289.3183008353587</v>
      </c>
      <c r="E93" s="22">
        <f t="shared" si="6"/>
        <v>446.3189946306801</v>
      </c>
      <c r="F93" s="63">
        <v>0.36</v>
      </c>
      <c r="G93" s="70">
        <f t="shared" si="9"/>
        <v>160.67483806704482</v>
      </c>
      <c r="H93" s="64">
        <f t="shared" si="7"/>
        <v>0.08033741903352241</v>
      </c>
      <c r="I93" s="7"/>
      <c r="J93" s="2"/>
      <c r="N93" s="2"/>
    </row>
    <row r="94" spans="1:14" s="4" customFormat="1" ht="12">
      <c r="A94" s="93" t="str">
        <f t="shared" si="8"/>
        <v>Jun</v>
      </c>
      <c r="B94" s="61">
        <f>'INPUT 1 - 2010 MATERIAL USAGE'!G10*'% PRODUCTION'!F6</f>
        <v>200.27134374453595</v>
      </c>
      <c r="C94" s="22">
        <v>3.12</v>
      </c>
      <c r="D94" s="61">
        <f t="shared" si="5"/>
        <v>1805.0456211695025</v>
      </c>
      <c r="E94" s="22">
        <f t="shared" si="6"/>
        <v>624.8465924829522</v>
      </c>
      <c r="F94" s="63">
        <v>0.36</v>
      </c>
      <c r="G94" s="70">
        <f t="shared" si="9"/>
        <v>224.9447732938628</v>
      </c>
      <c r="H94" s="64">
        <f t="shared" si="7"/>
        <v>0.11247238664693139</v>
      </c>
      <c r="I94" s="7"/>
      <c r="J94" s="2"/>
      <c r="N94" s="2"/>
    </row>
    <row r="95" spans="1:14" s="4" customFormat="1" ht="12">
      <c r="A95" s="93" t="str">
        <f t="shared" si="8"/>
        <v>Jul</v>
      </c>
      <c r="B95" s="61">
        <f>'INPUT 1 - 2010 MATERIAL USAGE'!H10*'% PRODUCTION'!$F$6</f>
        <v>200.27134374453595</v>
      </c>
      <c r="C95" s="22">
        <v>3.12</v>
      </c>
      <c r="D95" s="61">
        <f t="shared" si="5"/>
        <v>1805.0456211695025</v>
      </c>
      <c r="E95" s="22">
        <f t="shared" si="6"/>
        <v>624.8465924829522</v>
      </c>
      <c r="F95" s="63">
        <v>0.36</v>
      </c>
      <c r="G95" s="70">
        <f t="shared" si="9"/>
        <v>224.9447732938628</v>
      </c>
      <c r="H95" s="64">
        <f t="shared" si="7"/>
        <v>0.11247238664693139</v>
      </c>
      <c r="I95" s="7"/>
      <c r="J95" s="2"/>
      <c r="N95" s="2"/>
    </row>
    <row r="96" spans="1:14" s="4" customFormat="1" ht="12">
      <c r="A96" s="93" t="str">
        <f t="shared" si="8"/>
        <v>Aug</v>
      </c>
      <c r="B96" s="61">
        <f>'INPUT 1 - 2010 MATERIAL USAGE'!I10*'% PRODUCTION'!$F$6</f>
        <v>0</v>
      </c>
      <c r="C96" s="22">
        <v>3.12</v>
      </c>
      <c r="D96" s="61">
        <f t="shared" si="5"/>
        <v>0</v>
      </c>
      <c r="E96" s="22">
        <f t="shared" si="6"/>
        <v>0</v>
      </c>
      <c r="F96" s="63">
        <v>0.36</v>
      </c>
      <c r="G96" s="70">
        <f t="shared" si="9"/>
        <v>0</v>
      </c>
      <c r="H96" s="64">
        <f t="shared" si="7"/>
        <v>0</v>
      </c>
      <c r="I96" s="7"/>
      <c r="J96" s="2"/>
      <c r="N96" s="2"/>
    </row>
    <row r="97" spans="1:14" s="4" customFormat="1" ht="12">
      <c r="A97" s="93" t="str">
        <f t="shared" si="8"/>
        <v>Sep</v>
      </c>
      <c r="B97" s="61">
        <f>'INPUT 1 - 2010 MATERIAL USAGE'!J10*'% PRODUCTION'!$F$6</f>
        <v>0</v>
      </c>
      <c r="C97" s="22">
        <v>3.12</v>
      </c>
      <c r="D97" s="61">
        <f t="shared" si="5"/>
        <v>0</v>
      </c>
      <c r="E97" s="22">
        <f t="shared" si="6"/>
        <v>0</v>
      </c>
      <c r="F97" s="63">
        <v>0.36</v>
      </c>
      <c r="G97" s="70">
        <f t="shared" si="9"/>
        <v>0</v>
      </c>
      <c r="H97" s="64">
        <f t="shared" si="7"/>
        <v>0</v>
      </c>
      <c r="I97" s="7"/>
      <c r="J97" s="2"/>
      <c r="N97" s="2"/>
    </row>
    <row r="98" spans="1:14" s="4" customFormat="1" ht="12">
      <c r="A98" s="93" t="str">
        <f t="shared" si="8"/>
        <v>Oct</v>
      </c>
      <c r="B98" s="61">
        <f>'INPUT 1 - 2010 MATERIAL USAGE'!K10*'% PRODUCTION'!$F$6</f>
        <v>0</v>
      </c>
      <c r="C98" s="22">
        <v>3.12</v>
      </c>
      <c r="D98" s="61">
        <f t="shared" si="5"/>
        <v>0</v>
      </c>
      <c r="E98" s="22">
        <f t="shared" si="6"/>
        <v>0</v>
      </c>
      <c r="F98" s="63">
        <v>0.36</v>
      </c>
      <c r="G98" s="70">
        <f t="shared" si="9"/>
        <v>0</v>
      </c>
      <c r="H98" s="64">
        <f t="shared" si="7"/>
        <v>0</v>
      </c>
      <c r="I98" s="7"/>
      <c r="J98" s="2"/>
      <c r="N98" s="2"/>
    </row>
    <row r="99" spans="1:14" s="4" customFormat="1" ht="12">
      <c r="A99" s="93" t="str">
        <f t="shared" si="8"/>
        <v>Nov</v>
      </c>
      <c r="B99" s="61">
        <f>'INPUT 1 - 2010 MATERIAL USAGE'!L10*'% PRODUCTION'!$F$6</f>
        <v>0</v>
      </c>
      <c r="C99" s="22">
        <v>3.12</v>
      </c>
      <c r="D99" s="61">
        <f t="shared" si="5"/>
        <v>0</v>
      </c>
      <c r="E99" s="22">
        <f t="shared" si="6"/>
        <v>0</v>
      </c>
      <c r="F99" s="63">
        <v>0.36</v>
      </c>
      <c r="G99" s="70">
        <f t="shared" si="9"/>
        <v>0</v>
      </c>
      <c r="H99" s="64">
        <f t="shared" si="7"/>
        <v>0</v>
      </c>
      <c r="I99" s="7"/>
      <c r="J99" s="2"/>
      <c r="N99" s="2"/>
    </row>
    <row r="100" spans="1:14" s="4" customFormat="1" ht="12.75" thickBot="1">
      <c r="A100" s="93" t="str">
        <f t="shared" si="8"/>
        <v>Dec</v>
      </c>
      <c r="B100" s="61">
        <f>'INPUT 1 - 2010 MATERIAL USAGE'!M10*'% PRODUCTION'!$F$6</f>
        <v>0</v>
      </c>
      <c r="C100" s="22">
        <v>3.12</v>
      </c>
      <c r="D100" s="61">
        <f t="shared" si="5"/>
        <v>0</v>
      </c>
      <c r="E100" s="22">
        <f t="shared" si="6"/>
        <v>0</v>
      </c>
      <c r="F100" s="63">
        <v>0.36</v>
      </c>
      <c r="G100" s="70">
        <f t="shared" si="9"/>
        <v>0</v>
      </c>
      <c r="H100" s="64">
        <f t="shared" si="7"/>
        <v>0</v>
      </c>
      <c r="I100" s="7"/>
      <c r="J100" s="2"/>
      <c r="N100" s="2"/>
    </row>
    <row r="101" spans="1:14" s="4" customFormat="1" ht="13.5" thickBot="1" thickTop="1">
      <c r="A101" s="65" t="s">
        <v>11</v>
      </c>
      <c r="B101" s="74">
        <f>SUM(B89:B100)</f>
        <v>1230.2382544307206</v>
      </c>
      <c r="C101" s="74"/>
      <c r="D101" s="74">
        <f>SUM(D89:D100)</f>
        <v>11088.137387184086</v>
      </c>
      <c r="E101" s="74">
        <f>SUM(E89:E100)</f>
        <v>3838.3433538238496</v>
      </c>
      <c r="F101" s="74"/>
      <c r="G101" s="74">
        <f>SUM(G89:G100)</f>
        <v>1381.8036073765857</v>
      </c>
      <c r="H101" s="75">
        <f>SUM(H89:H100)</f>
        <v>0.6909018036882928</v>
      </c>
      <c r="I101" s="7"/>
      <c r="J101" s="2"/>
      <c r="N101" s="2"/>
    </row>
    <row r="102" spans="1:14" s="4" customFormat="1" ht="12.75" thickBot="1">
      <c r="A102" s="33"/>
      <c r="B102" s="55"/>
      <c r="C102" s="55"/>
      <c r="D102" s="55"/>
      <c r="E102" s="55"/>
      <c r="F102" s="55"/>
      <c r="G102" s="55"/>
      <c r="H102" s="55"/>
      <c r="I102" s="7"/>
      <c r="J102" s="2"/>
      <c r="N102" s="2"/>
    </row>
    <row r="103" spans="1:14" s="4" customFormat="1" ht="12.75" thickBot="1">
      <c r="A103" s="369" t="s">
        <v>198</v>
      </c>
      <c r="B103" s="370"/>
      <c r="C103" s="370"/>
      <c r="D103" s="370"/>
      <c r="E103" s="370"/>
      <c r="F103" s="370"/>
      <c r="G103" s="370"/>
      <c r="H103" s="371"/>
      <c r="I103" s="7"/>
      <c r="J103" s="2"/>
      <c r="N103" s="2"/>
    </row>
    <row r="104" spans="1:14" s="4" customFormat="1" ht="36.75" thickBot="1">
      <c r="A104" s="18" t="s">
        <v>6</v>
      </c>
      <c r="B104" s="19" t="s">
        <v>7</v>
      </c>
      <c r="C104" s="19" t="s">
        <v>8</v>
      </c>
      <c r="D104" s="19" t="s">
        <v>9</v>
      </c>
      <c r="E104" s="20" t="s">
        <v>10</v>
      </c>
      <c r="F104" s="20" t="s">
        <v>3</v>
      </c>
      <c r="G104" s="216" t="s">
        <v>4</v>
      </c>
      <c r="H104" s="20" t="s">
        <v>5</v>
      </c>
      <c r="I104" s="7"/>
      <c r="J104" s="2"/>
      <c r="N104" s="2"/>
    </row>
    <row r="105" spans="1:14" s="4" customFormat="1" ht="12.75" thickBot="1">
      <c r="A105" s="359" t="s">
        <v>57</v>
      </c>
      <c r="B105" s="362"/>
      <c r="C105" s="362"/>
      <c r="D105" s="362"/>
      <c r="E105" s="362"/>
      <c r="F105" s="362"/>
      <c r="G105" s="362"/>
      <c r="H105" s="363"/>
      <c r="I105" s="7"/>
      <c r="J105" s="2"/>
      <c r="N105" s="2"/>
    </row>
    <row r="106" spans="1:14" s="4" customFormat="1" ht="12">
      <c r="A106" s="93" t="str">
        <f>A89</f>
        <v>Jan</v>
      </c>
      <c r="B106" s="61">
        <f>'INPUT 1 - 2010 MATERIAL USAGE'!B10*'% PRODUCTION'!F7</f>
        <v>86.55108580067653</v>
      </c>
      <c r="C106" s="22">
        <v>3.12</v>
      </c>
      <c r="D106" s="61">
        <f aca="true" t="shared" si="10" ref="D106:D117">B106*9.013</f>
        <v>780.0849363214976</v>
      </c>
      <c r="E106" s="22">
        <f aca="true" t="shared" si="11" ref="E106:E117">B106*C106</f>
        <v>270.0393876981108</v>
      </c>
      <c r="F106" s="63">
        <f>F89</f>
        <v>0.36</v>
      </c>
      <c r="G106" s="70">
        <f>F106*E106</f>
        <v>97.21417957131987</v>
      </c>
      <c r="H106" s="64">
        <f aca="true" t="shared" si="12" ref="H106:H117">G106/2000</f>
        <v>0.04860708978565994</v>
      </c>
      <c r="I106" s="7"/>
      <c r="J106" s="2"/>
      <c r="N106" s="2"/>
    </row>
    <row r="107" spans="1:14" s="4" customFormat="1" ht="12">
      <c r="A107" s="93" t="str">
        <f aca="true" t="shared" si="13" ref="A107:A117">A90</f>
        <v>Feb</v>
      </c>
      <c r="B107" s="61">
        <f>'INPUT 1 - 2010 MATERIAL USAGE'!C10*'% PRODUCTION'!F7</f>
        <v>28.850361933558844</v>
      </c>
      <c r="C107" s="22">
        <v>3.12</v>
      </c>
      <c r="D107" s="61">
        <f>B107*9.013</f>
        <v>260.02831210716585</v>
      </c>
      <c r="E107" s="22">
        <f t="shared" si="11"/>
        <v>90.01312923270359</v>
      </c>
      <c r="F107" s="63">
        <f aca="true" t="shared" si="14" ref="F107:F117">F90</f>
        <v>0.36</v>
      </c>
      <c r="G107" s="70">
        <f aca="true" t="shared" si="15" ref="G107:G117">F107*E107</f>
        <v>32.40472652377329</v>
      </c>
      <c r="H107" s="64">
        <f t="shared" si="12"/>
        <v>0.016202363261886645</v>
      </c>
      <c r="I107" s="7"/>
      <c r="J107" s="2"/>
      <c r="N107" s="2"/>
    </row>
    <row r="108" spans="1:14" s="4" customFormat="1" ht="12">
      <c r="A108" s="93" t="str">
        <f t="shared" si="13"/>
        <v>Mar</v>
      </c>
      <c r="B108" s="61">
        <f>'INPUT 1 - 2010 MATERIAL USAGE'!D10*'% PRODUCTION'!F7</f>
        <v>115.40144773423538</v>
      </c>
      <c r="C108" s="22">
        <v>3.12</v>
      </c>
      <c r="D108" s="61">
        <f t="shared" si="10"/>
        <v>1040.1132484286634</v>
      </c>
      <c r="E108" s="22">
        <f t="shared" si="11"/>
        <v>360.05251693081436</v>
      </c>
      <c r="F108" s="63">
        <f t="shared" si="14"/>
        <v>0.36</v>
      </c>
      <c r="G108" s="70">
        <f t="shared" si="15"/>
        <v>129.61890609509317</v>
      </c>
      <c r="H108" s="64">
        <f t="shared" si="12"/>
        <v>0.06480945304754658</v>
      </c>
      <c r="I108" s="7"/>
      <c r="J108" s="2"/>
      <c r="N108" s="2"/>
    </row>
    <row r="109" spans="1:14" s="4" customFormat="1" ht="12">
      <c r="A109" s="93" t="str">
        <f t="shared" si="13"/>
        <v>Apr</v>
      </c>
      <c r="B109" s="61">
        <f>'INPUT 1 - 2010 MATERIAL USAGE'!E10*'% PRODUCTION'!F7</f>
        <v>115.40144773423538</v>
      </c>
      <c r="C109" s="22">
        <v>3.12</v>
      </c>
      <c r="D109" s="61">
        <f t="shared" si="10"/>
        <v>1040.1132484286634</v>
      </c>
      <c r="E109" s="22">
        <f t="shared" si="11"/>
        <v>360.05251693081436</v>
      </c>
      <c r="F109" s="63">
        <f t="shared" si="14"/>
        <v>0.36</v>
      </c>
      <c r="G109" s="70">
        <f t="shared" si="15"/>
        <v>129.61890609509317</v>
      </c>
      <c r="H109" s="64">
        <f t="shared" si="12"/>
        <v>0.06480945304754658</v>
      </c>
      <c r="I109" s="7"/>
      <c r="J109" s="2"/>
      <c r="N109" s="2"/>
    </row>
    <row r="110" spans="1:14" s="32" customFormat="1" ht="12">
      <c r="A110" s="93" t="str">
        <f t="shared" si="13"/>
        <v>May</v>
      </c>
      <c r="B110" s="61">
        <f>'INPUT 1 - 2010 MATERIAL USAGE'!F10*'% PRODUCTION'!F7</f>
        <v>72.12590483389711</v>
      </c>
      <c r="C110" s="22">
        <v>3.12</v>
      </c>
      <c r="D110" s="61">
        <f t="shared" si="10"/>
        <v>650.0707802679146</v>
      </c>
      <c r="E110" s="22">
        <f t="shared" si="11"/>
        <v>225.03282308175898</v>
      </c>
      <c r="F110" s="63">
        <f t="shared" si="14"/>
        <v>0.36</v>
      </c>
      <c r="G110" s="70">
        <f t="shared" si="15"/>
        <v>81.01181630943323</v>
      </c>
      <c r="H110" s="64">
        <f t="shared" si="12"/>
        <v>0.040505908154716615</v>
      </c>
      <c r="I110" s="30"/>
      <c r="J110" s="31"/>
      <c r="N110" s="31"/>
    </row>
    <row r="111" spans="1:14" s="4" customFormat="1" ht="12">
      <c r="A111" s="93" t="str">
        <f t="shared" si="13"/>
        <v>Jun</v>
      </c>
      <c r="B111" s="61">
        <f>'INPUT 1 - 2010 MATERIAL USAGE'!G10*'% PRODUCTION'!F7</f>
        <v>100.97626676745595</v>
      </c>
      <c r="C111" s="22">
        <v>3.12</v>
      </c>
      <c r="D111" s="61">
        <f t="shared" si="10"/>
        <v>910.0990923750805</v>
      </c>
      <c r="E111" s="22">
        <f t="shared" si="11"/>
        <v>315.04595231446257</v>
      </c>
      <c r="F111" s="63">
        <f t="shared" si="14"/>
        <v>0.36</v>
      </c>
      <c r="G111" s="70">
        <f t="shared" si="15"/>
        <v>113.41654283320652</v>
      </c>
      <c r="H111" s="64">
        <f t="shared" si="12"/>
        <v>0.05670827141660326</v>
      </c>
      <c r="I111" s="7"/>
      <c r="J111" s="2"/>
      <c r="N111" s="2"/>
    </row>
    <row r="112" spans="1:14" s="4" customFormat="1" ht="12.75" thickBot="1">
      <c r="A112" s="93" t="str">
        <f t="shared" si="13"/>
        <v>Jul</v>
      </c>
      <c r="B112" s="61">
        <f>'INPUT 1 - 2010 MATERIAL USAGE'!H10*'% PRODUCTION'!$F$7</f>
        <v>100.97626676745595</v>
      </c>
      <c r="C112" s="22">
        <v>3.12</v>
      </c>
      <c r="D112" s="61">
        <f t="shared" si="10"/>
        <v>910.0990923750805</v>
      </c>
      <c r="E112" s="22">
        <f t="shared" si="11"/>
        <v>315.04595231446257</v>
      </c>
      <c r="F112" s="63">
        <f t="shared" si="14"/>
        <v>0.36</v>
      </c>
      <c r="G112" s="70">
        <f t="shared" si="15"/>
        <v>113.41654283320652</v>
      </c>
      <c r="H112" s="64">
        <f t="shared" si="12"/>
        <v>0.05670827141660326</v>
      </c>
      <c r="I112" s="7"/>
      <c r="J112" s="2"/>
      <c r="N112" s="2"/>
    </row>
    <row r="113" spans="1:14" s="4" customFormat="1" ht="15" customHeight="1" thickBot="1" thickTop="1">
      <c r="A113" s="93" t="str">
        <f t="shared" si="13"/>
        <v>Aug</v>
      </c>
      <c r="B113" s="61">
        <f>'INPUT 1 - 2010 MATERIAL USAGE'!I10*'% PRODUCTION'!$F$7</f>
        <v>0</v>
      </c>
      <c r="C113" s="22">
        <v>3.12</v>
      </c>
      <c r="D113" s="61">
        <f t="shared" si="10"/>
        <v>0</v>
      </c>
      <c r="E113" s="22">
        <f t="shared" si="11"/>
        <v>0</v>
      </c>
      <c r="F113" s="63">
        <f t="shared" si="14"/>
        <v>0.36</v>
      </c>
      <c r="G113" s="70">
        <f t="shared" si="15"/>
        <v>0</v>
      </c>
      <c r="H113" s="64">
        <f t="shared" si="12"/>
        <v>0</v>
      </c>
      <c r="I113" s="23"/>
      <c r="J113" s="23"/>
      <c r="K113" s="23"/>
      <c r="L113" s="9"/>
      <c r="N113" s="2"/>
    </row>
    <row r="114" spans="1:14" s="4" customFormat="1" ht="14.25" customHeight="1" thickBot="1" thickTop="1">
      <c r="A114" s="93" t="str">
        <f t="shared" si="13"/>
        <v>Sep</v>
      </c>
      <c r="B114" s="61">
        <f>'INPUT 1 - 2010 MATERIAL USAGE'!J10*'% PRODUCTION'!$F$7</f>
        <v>0</v>
      </c>
      <c r="C114" s="22">
        <v>3.12</v>
      </c>
      <c r="D114" s="61">
        <f t="shared" si="10"/>
        <v>0</v>
      </c>
      <c r="E114" s="22">
        <f t="shared" si="11"/>
        <v>0</v>
      </c>
      <c r="F114" s="63">
        <f t="shared" si="14"/>
        <v>0.36</v>
      </c>
      <c r="G114" s="70">
        <f t="shared" si="15"/>
        <v>0</v>
      </c>
      <c r="H114" s="64">
        <f t="shared" si="12"/>
        <v>0</v>
      </c>
      <c r="I114" s="23"/>
      <c r="J114" s="23"/>
      <c r="K114" s="23"/>
      <c r="L114" s="56"/>
      <c r="N114" s="2"/>
    </row>
    <row r="115" spans="1:14" s="4" customFormat="1" ht="14.25" customHeight="1" thickTop="1">
      <c r="A115" s="93" t="str">
        <f t="shared" si="13"/>
        <v>Oct</v>
      </c>
      <c r="B115" s="61">
        <f>'INPUT 1 - 2010 MATERIAL USAGE'!K10*'% PRODUCTION'!$F$7</f>
        <v>0</v>
      </c>
      <c r="C115" s="22">
        <v>3.12</v>
      </c>
      <c r="D115" s="61">
        <f t="shared" si="10"/>
        <v>0</v>
      </c>
      <c r="E115" s="22">
        <f t="shared" si="11"/>
        <v>0</v>
      </c>
      <c r="F115" s="63">
        <f t="shared" si="14"/>
        <v>0.36</v>
      </c>
      <c r="G115" s="70">
        <f t="shared" si="15"/>
        <v>0</v>
      </c>
      <c r="H115" s="64">
        <f t="shared" si="12"/>
        <v>0</v>
      </c>
      <c r="I115" s="23"/>
      <c r="J115" s="23"/>
      <c r="K115" s="23"/>
      <c r="L115" s="56"/>
      <c r="N115" s="2"/>
    </row>
    <row r="116" spans="1:14" s="36" customFormat="1" ht="15" customHeight="1">
      <c r="A116" s="93" t="str">
        <f t="shared" si="13"/>
        <v>Nov</v>
      </c>
      <c r="B116" s="61">
        <f>'INPUT 1 - 2010 MATERIAL USAGE'!L10*'% PRODUCTION'!$F$7</f>
        <v>0</v>
      </c>
      <c r="C116" s="22">
        <v>3.12</v>
      </c>
      <c r="D116" s="61">
        <f t="shared" si="10"/>
        <v>0</v>
      </c>
      <c r="E116" s="22">
        <f t="shared" si="11"/>
        <v>0</v>
      </c>
      <c r="F116" s="63">
        <f t="shared" si="14"/>
        <v>0.36</v>
      </c>
      <c r="G116" s="70">
        <f t="shared" si="15"/>
        <v>0</v>
      </c>
      <c r="H116" s="64">
        <f t="shared" si="12"/>
        <v>0</v>
      </c>
      <c r="N116" s="2"/>
    </row>
    <row r="117" spans="1:14" s="4" customFormat="1" ht="13.5" thickBot="1">
      <c r="A117" s="93" t="str">
        <f t="shared" si="13"/>
        <v>Dec</v>
      </c>
      <c r="B117" s="61">
        <f>'INPUT 1 - 2010 MATERIAL USAGE'!M10*'% PRODUCTION'!$F$7</f>
        <v>0</v>
      </c>
      <c r="C117" s="22">
        <v>3.12</v>
      </c>
      <c r="D117" s="61">
        <f t="shared" si="10"/>
        <v>0</v>
      </c>
      <c r="E117" s="22">
        <f t="shared" si="11"/>
        <v>0</v>
      </c>
      <c r="F117" s="63">
        <f t="shared" si="14"/>
        <v>0.36</v>
      </c>
      <c r="G117" s="70">
        <f t="shared" si="15"/>
        <v>0</v>
      </c>
      <c r="H117" s="64">
        <f t="shared" si="12"/>
        <v>0</v>
      </c>
      <c r="I117"/>
      <c r="J117"/>
      <c r="K117"/>
      <c r="L117"/>
      <c r="N117" s="2"/>
    </row>
    <row r="118" spans="1:14" s="4" customFormat="1" ht="14.25" thickBot="1" thickTop="1">
      <c r="A118" s="65" t="s">
        <v>11</v>
      </c>
      <c r="B118" s="74">
        <f>SUM(B106:B117)</f>
        <v>620.2827815715151</v>
      </c>
      <c r="C118" s="74"/>
      <c r="D118" s="74">
        <f>SUM(D106:D117)</f>
        <v>5590.608710304065</v>
      </c>
      <c r="E118" s="74">
        <f>SUM(E106:E117)</f>
        <v>1935.2822785031271</v>
      </c>
      <c r="F118" s="74"/>
      <c r="G118" s="74">
        <f>SUM(G106:G117)</f>
        <v>696.7016202611259</v>
      </c>
      <c r="H118" s="75">
        <f>SUM(H106:H117)</f>
        <v>0.3483508101305629</v>
      </c>
      <c r="I118"/>
      <c r="J118"/>
      <c r="K118"/>
      <c r="L118"/>
      <c r="N118" s="2"/>
    </row>
    <row r="119" spans="1:14" s="4" customFormat="1" ht="24" customHeight="1">
      <c r="A119" s="33"/>
      <c r="B119" s="55"/>
      <c r="C119" s="55"/>
      <c r="D119" s="55"/>
      <c r="E119" s="55"/>
      <c r="F119" s="55"/>
      <c r="G119" s="55"/>
      <c r="H119" s="55"/>
      <c r="I119"/>
      <c r="J119"/>
      <c r="K119"/>
      <c r="L119"/>
      <c r="N119" s="2"/>
    </row>
    <row r="120" spans="3:8" ht="13.5" thickBot="1">
      <c r="C120"/>
      <c r="E120"/>
      <c r="F120"/>
      <c r="G120" s="212"/>
      <c r="H120"/>
    </row>
    <row r="121" spans="1:8" ht="13.5" thickBot="1">
      <c r="A121" s="354" t="s">
        <v>199</v>
      </c>
      <c r="B121" s="355"/>
      <c r="C121" s="355"/>
      <c r="D121" s="355"/>
      <c r="E121" s="355"/>
      <c r="F121" s="355"/>
      <c r="G121" s="355"/>
      <c r="H121" s="356"/>
    </row>
    <row r="122" spans="1:8" ht="36.75" thickBot="1">
      <c r="A122" s="50" t="s">
        <v>6</v>
      </c>
      <c r="B122" s="51" t="s">
        <v>7</v>
      </c>
      <c r="C122" s="51" t="s">
        <v>8</v>
      </c>
      <c r="D122" s="51" t="s">
        <v>9</v>
      </c>
      <c r="E122" s="52" t="s">
        <v>10</v>
      </c>
      <c r="F122" s="52" t="s">
        <v>3</v>
      </c>
      <c r="G122" s="217" t="s">
        <v>4</v>
      </c>
      <c r="H122" s="52" t="s">
        <v>5</v>
      </c>
    </row>
    <row r="123" spans="1:8" ht="13.5" thickBot="1">
      <c r="A123" s="76"/>
      <c r="B123" s="29"/>
      <c r="C123" s="29"/>
      <c r="D123" s="15"/>
      <c r="E123" s="29"/>
      <c r="F123" s="29"/>
      <c r="G123" s="218"/>
      <c r="H123" s="77"/>
    </row>
    <row r="124" spans="1:8" ht="13.5" thickBot="1">
      <c r="A124" s="359" t="s">
        <v>127</v>
      </c>
      <c r="B124" s="360"/>
      <c r="C124" s="360"/>
      <c r="D124" s="360"/>
      <c r="E124" s="360"/>
      <c r="F124" s="360"/>
      <c r="G124" s="360"/>
      <c r="H124" s="361"/>
    </row>
    <row r="125" spans="1:8" ht="12.75">
      <c r="A125" s="93" t="str">
        <f>A106</f>
        <v>Jan</v>
      </c>
      <c r="B125" s="61">
        <f>'INPUT 1 - 2010 MATERIAL USAGE'!B8*'% PRODUCTION'!F5</f>
        <v>47.858508278861756</v>
      </c>
      <c r="C125" s="61">
        <v>6.5</v>
      </c>
      <c r="D125" s="61">
        <f aca="true" t="shared" si="16" ref="D125:D136">B125*6.926</f>
        <v>331.46802833939654</v>
      </c>
      <c r="E125" s="61">
        <f aca="true" t="shared" si="17" ref="E125:E136">B125*C125</f>
        <v>311.0803038126014</v>
      </c>
      <c r="F125" s="63">
        <v>0.5</v>
      </c>
      <c r="G125" s="70">
        <f>F125*E125</f>
        <v>155.5401519063007</v>
      </c>
      <c r="H125" s="64">
        <f aca="true" t="shared" si="18" ref="H125:H136">G125/2000</f>
        <v>0.07777007595315036</v>
      </c>
    </row>
    <row r="126" spans="1:8" ht="12.75">
      <c r="A126" s="93" t="str">
        <f aca="true" t="shared" si="19" ref="A126:A135">A107</f>
        <v>Feb</v>
      </c>
      <c r="B126" s="61">
        <f>'INPUT 1 - 2010 MATERIAL USAGE'!C8*'% PRODUCTION'!F5</f>
        <v>71.78776241829263</v>
      </c>
      <c r="C126" s="61">
        <v>6.5</v>
      </c>
      <c r="D126" s="61">
        <f t="shared" si="16"/>
        <v>497.2020425090948</v>
      </c>
      <c r="E126" s="61">
        <f t="shared" si="17"/>
        <v>466.6204557189021</v>
      </c>
      <c r="F126" s="63">
        <v>0.5</v>
      </c>
      <c r="G126" s="70">
        <f aca="true" t="shared" si="20" ref="G126:G136">F126*E126</f>
        <v>233.31022785945106</v>
      </c>
      <c r="H126" s="64">
        <f t="shared" si="18"/>
        <v>0.11665511392972552</v>
      </c>
    </row>
    <row r="127" spans="1:8" ht="12.75">
      <c r="A127" s="93" t="str">
        <f t="shared" si="19"/>
        <v>Mar</v>
      </c>
      <c r="B127" s="61">
        <f>'INPUT 1 - 2010 MATERIAL USAGE'!D8*'% PRODUCTION'!F5</f>
        <v>95.71701655772351</v>
      </c>
      <c r="C127" s="61">
        <v>6.5</v>
      </c>
      <c r="D127" s="61">
        <f t="shared" si="16"/>
        <v>662.9360566787931</v>
      </c>
      <c r="E127" s="61">
        <f t="shared" si="17"/>
        <v>622.1606076252028</v>
      </c>
      <c r="F127" s="63">
        <v>0.5</v>
      </c>
      <c r="G127" s="70">
        <f t="shared" si="20"/>
        <v>311.0803038126014</v>
      </c>
      <c r="H127" s="64">
        <f t="shared" si="18"/>
        <v>0.15554015190630072</v>
      </c>
    </row>
    <row r="128" spans="1:8" ht="12.75">
      <c r="A128" s="93" t="str">
        <f t="shared" si="19"/>
        <v>Apr</v>
      </c>
      <c r="B128" s="61">
        <f>'INPUT 1 - 2010 MATERIAL USAGE'!E8*'% PRODUCTION'!F5</f>
        <v>71.78776241829263</v>
      </c>
      <c r="C128" s="61">
        <v>6.5</v>
      </c>
      <c r="D128" s="61">
        <f t="shared" si="16"/>
        <v>497.2020425090948</v>
      </c>
      <c r="E128" s="61">
        <f t="shared" si="17"/>
        <v>466.6204557189021</v>
      </c>
      <c r="F128" s="63">
        <v>0.5</v>
      </c>
      <c r="G128" s="70">
        <f t="shared" si="20"/>
        <v>233.31022785945106</v>
      </c>
      <c r="H128" s="64">
        <f t="shared" si="18"/>
        <v>0.11665511392972552</v>
      </c>
    </row>
    <row r="129" spans="1:8" ht="12.75">
      <c r="A129" s="93" t="str">
        <f t="shared" si="19"/>
        <v>May</v>
      </c>
      <c r="B129" s="61">
        <f>'INPUT 1 - 2010 MATERIAL USAGE'!F8*'% PRODUCTION'!F5</f>
        <v>23.929254139430878</v>
      </c>
      <c r="C129" s="61">
        <v>6.5</v>
      </c>
      <c r="D129" s="61">
        <f t="shared" si="16"/>
        <v>165.73401416969827</v>
      </c>
      <c r="E129" s="61">
        <f t="shared" si="17"/>
        <v>155.5401519063007</v>
      </c>
      <c r="F129" s="63">
        <v>0.5</v>
      </c>
      <c r="G129" s="70">
        <f t="shared" si="20"/>
        <v>77.77007595315035</v>
      </c>
      <c r="H129" s="64">
        <f t="shared" si="18"/>
        <v>0.03888503797657518</v>
      </c>
    </row>
    <row r="130" spans="1:8" ht="12.75">
      <c r="A130" s="93" t="str">
        <f t="shared" si="19"/>
        <v>Jun</v>
      </c>
      <c r="B130" s="61">
        <f>'INPUT 1 - 2010 MATERIAL USAGE'!G8*'% PRODUCTION'!F5</f>
        <v>71.78776241829263</v>
      </c>
      <c r="C130" s="61">
        <v>6.5</v>
      </c>
      <c r="D130" s="61">
        <f t="shared" si="16"/>
        <v>497.2020425090948</v>
      </c>
      <c r="E130" s="61">
        <f t="shared" si="17"/>
        <v>466.6204557189021</v>
      </c>
      <c r="F130" s="63">
        <v>0.5</v>
      </c>
      <c r="G130" s="70">
        <f t="shared" si="20"/>
        <v>233.31022785945106</v>
      </c>
      <c r="H130" s="64">
        <f t="shared" si="18"/>
        <v>0.11665511392972552</v>
      </c>
    </row>
    <row r="131" spans="1:8" ht="12.75">
      <c r="A131" s="93" t="str">
        <f t="shared" si="19"/>
        <v>Jul</v>
      </c>
      <c r="B131" s="61">
        <f>'INPUT 1 - 2010 MATERIAL USAGE'!H8*'% PRODUCTION'!$F$5</f>
        <v>35.893881209146315</v>
      </c>
      <c r="C131" s="61">
        <v>6.5</v>
      </c>
      <c r="D131" s="61">
        <f t="shared" si="16"/>
        <v>248.6010212545474</v>
      </c>
      <c r="E131" s="61">
        <f t="shared" si="17"/>
        <v>233.31022785945106</v>
      </c>
      <c r="F131" s="63">
        <v>0.5</v>
      </c>
      <c r="G131" s="70">
        <f t="shared" si="20"/>
        <v>116.65511392972553</v>
      </c>
      <c r="H131" s="64">
        <f t="shared" si="18"/>
        <v>0.05832755696486276</v>
      </c>
    </row>
    <row r="132" spans="1:8" ht="12.75">
      <c r="A132" s="93" t="str">
        <f t="shared" si="19"/>
        <v>Aug</v>
      </c>
      <c r="B132" s="61">
        <f>'INPUT 1 - 2010 MATERIAL USAGE'!I8*'% PRODUCTION'!$F$5</f>
        <v>0</v>
      </c>
      <c r="C132" s="61">
        <v>6.5</v>
      </c>
      <c r="D132" s="61">
        <f t="shared" si="16"/>
        <v>0</v>
      </c>
      <c r="E132" s="61">
        <f t="shared" si="17"/>
        <v>0</v>
      </c>
      <c r="F132" s="63">
        <v>0.5</v>
      </c>
      <c r="G132" s="70">
        <f t="shared" si="20"/>
        <v>0</v>
      </c>
      <c r="H132" s="64">
        <f t="shared" si="18"/>
        <v>0</v>
      </c>
    </row>
    <row r="133" spans="1:8" ht="12.75">
      <c r="A133" s="93" t="str">
        <f t="shared" si="19"/>
        <v>Sep</v>
      </c>
      <c r="B133" s="61">
        <f>'INPUT 1 - 2010 MATERIAL USAGE'!J8*'% PRODUCTION'!$F$5</f>
        <v>0</v>
      </c>
      <c r="C133" s="61">
        <v>6.5</v>
      </c>
      <c r="D133" s="61">
        <f t="shared" si="16"/>
        <v>0</v>
      </c>
      <c r="E133" s="61">
        <f t="shared" si="17"/>
        <v>0</v>
      </c>
      <c r="F133" s="63">
        <v>0.5</v>
      </c>
      <c r="G133" s="70">
        <f t="shared" si="20"/>
        <v>0</v>
      </c>
      <c r="H133" s="64">
        <f t="shared" si="18"/>
        <v>0</v>
      </c>
    </row>
    <row r="134" spans="1:8" ht="12.75">
      <c r="A134" s="93" t="str">
        <f t="shared" si="19"/>
        <v>Oct</v>
      </c>
      <c r="B134" s="61">
        <f>'INPUT 1 - 2010 MATERIAL USAGE'!K8*'% PRODUCTION'!$F$5</f>
        <v>0</v>
      </c>
      <c r="C134" s="61">
        <v>6.5</v>
      </c>
      <c r="D134" s="61">
        <f t="shared" si="16"/>
        <v>0</v>
      </c>
      <c r="E134" s="61">
        <f t="shared" si="17"/>
        <v>0</v>
      </c>
      <c r="F134" s="63">
        <v>0.5</v>
      </c>
      <c r="G134" s="70">
        <f t="shared" si="20"/>
        <v>0</v>
      </c>
      <c r="H134" s="64">
        <f t="shared" si="18"/>
        <v>0</v>
      </c>
    </row>
    <row r="135" spans="1:8" ht="12.75">
      <c r="A135" s="93" t="str">
        <f t="shared" si="19"/>
        <v>Nov</v>
      </c>
      <c r="B135" s="61">
        <f>'INPUT 1 - 2010 MATERIAL USAGE'!L8*'% PRODUCTION'!$F$5</f>
        <v>0</v>
      </c>
      <c r="C135" s="61">
        <v>6.5</v>
      </c>
      <c r="D135" s="61">
        <f t="shared" si="16"/>
        <v>0</v>
      </c>
      <c r="E135" s="61">
        <f t="shared" si="17"/>
        <v>0</v>
      </c>
      <c r="F135" s="63">
        <v>0.5</v>
      </c>
      <c r="G135" s="70">
        <f t="shared" si="20"/>
        <v>0</v>
      </c>
      <c r="H135" s="64">
        <f t="shared" si="18"/>
        <v>0</v>
      </c>
    </row>
    <row r="136" spans="1:8" ht="13.5" thickBot="1">
      <c r="A136" s="93" t="str">
        <f>A117</f>
        <v>Dec</v>
      </c>
      <c r="B136" s="61">
        <f>'INPUT 1 - 2010 MATERIAL USAGE'!M8*'% PRODUCTION'!$F$5</f>
        <v>0</v>
      </c>
      <c r="C136" s="61">
        <v>6.5</v>
      </c>
      <c r="D136" s="61">
        <f t="shared" si="16"/>
        <v>0</v>
      </c>
      <c r="E136" s="61">
        <f t="shared" si="17"/>
        <v>0</v>
      </c>
      <c r="F136" s="63">
        <v>0.5</v>
      </c>
      <c r="G136" s="70">
        <f t="shared" si="20"/>
        <v>0</v>
      </c>
      <c r="H136" s="64">
        <f t="shared" si="18"/>
        <v>0</v>
      </c>
    </row>
    <row r="137" spans="1:8" ht="14.25" thickBot="1" thickTop="1">
      <c r="A137" s="65" t="s">
        <v>11</v>
      </c>
      <c r="B137" s="74">
        <f>SUM(B125:B136)</f>
        <v>418.76194744004033</v>
      </c>
      <c r="C137" s="74"/>
      <c r="D137" s="74">
        <f>SUM(D125:D136)</f>
        <v>2900.3452479697203</v>
      </c>
      <c r="E137" s="74">
        <f>SUM(E125:E136)</f>
        <v>2721.9526583602624</v>
      </c>
      <c r="F137" s="74"/>
      <c r="G137" s="74">
        <f>SUM(G125:G136)</f>
        <v>1360.9763291801312</v>
      </c>
      <c r="H137" s="75">
        <f>SUM(H125:H136)</f>
        <v>0.6804881645900656</v>
      </c>
    </row>
    <row r="138" spans="3:8" ht="12.75">
      <c r="C138"/>
      <c r="E138"/>
      <c r="F138"/>
      <c r="G138" s="212"/>
      <c r="H138"/>
    </row>
    <row r="139" spans="3:8" ht="13.5" thickBot="1">
      <c r="C139"/>
      <c r="E139"/>
      <c r="F139"/>
      <c r="G139" s="212"/>
      <c r="H139"/>
    </row>
    <row r="140" spans="1:8" ht="13.5" thickBot="1">
      <c r="A140" s="369" t="s">
        <v>197</v>
      </c>
      <c r="B140" s="370"/>
      <c r="C140" s="370"/>
      <c r="D140" s="370"/>
      <c r="E140" s="370"/>
      <c r="F140" s="370"/>
      <c r="G140" s="370"/>
      <c r="H140" s="371"/>
    </row>
    <row r="141" spans="1:8" ht="36.75" thickBot="1">
      <c r="A141" s="50" t="s">
        <v>6</v>
      </c>
      <c r="B141" s="51" t="s">
        <v>7</v>
      </c>
      <c r="C141" s="51" t="s">
        <v>8</v>
      </c>
      <c r="D141" s="51" t="s">
        <v>9</v>
      </c>
      <c r="E141" s="52" t="s">
        <v>10</v>
      </c>
      <c r="F141" s="52" t="s">
        <v>3</v>
      </c>
      <c r="G141" s="217" t="s">
        <v>4</v>
      </c>
      <c r="H141" s="52" t="s">
        <v>5</v>
      </c>
    </row>
    <row r="142" spans="1:8" ht="13.5" thickBot="1">
      <c r="A142" s="359" t="s">
        <v>127</v>
      </c>
      <c r="B142" s="360"/>
      <c r="C142" s="360"/>
      <c r="D142" s="360"/>
      <c r="E142" s="360"/>
      <c r="F142" s="360"/>
      <c r="G142" s="360"/>
      <c r="H142" s="361"/>
    </row>
    <row r="143" spans="1:8" ht="12.75">
      <c r="A143" s="93" t="str">
        <f>A125</f>
        <v>Jan</v>
      </c>
      <c r="B143" s="61">
        <f>'INPUT 1 - 2010 MATERIAL USAGE'!B8*'% PRODUCTION'!F6</f>
        <v>114.44076785402054</v>
      </c>
      <c r="C143" s="61">
        <v>6.5</v>
      </c>
      <c r="D143" s="61">
        <f aca="true" t="shared" si="21" ref="D143:D154">B143*6.926</f>
        <v>792.6167581569463</v>
      </c>
      <c r="E143" s="61">
        <f aca="true" t="shared" si="22" ref="E143:E154">B143*C143</f>
        <v>743.8649910511335</v>
      </c>
      <c r="F143" s="63">
        <v>0.5</v>
      </c>
      <c r="G143" s="70">
        <f>E143*F143</f>
        <v>371.93249552556676</v>
      </c>
      <c r="H143" s="64">
        <f aca="true" t="shared" si="23" ref="H143:H154">G143/2000</f>
        <v>0.1859662477627834</v>
      </c>
    </row>
    <row r="144" spans="1:8" ht="12.75">
      <c r="A144" s="93" t="str">
        <f aca="true" t="shared" si="24" ref="A144:A154">A126</f>
        <v>Feb</v>
      </c>
      <c r="B144" s="61">
        <f>'INPUT 1 - 2010 MATERIAL USAGE'!C8*'% PRODUCTION'!F6</f>
        <v>171.6611517810308</v>
      </c>
      <c r="C144" s="61">
        <v>6.5</v>
      </c>
      <c r="D144" s="61">
        <f t="shared" si="21"/>
        <v>1188.9251372354195</v>
      </c>
      <c r="E144" s="61">
        <f t="shared" si="22"/>
        <v>1115.7974865767003</v>
      </c>
      <c r="F144" s="63">
        <v>0.5</v>
      </c>
      <c r="G144" s="70">
        <f aca="true" t="shared" si="25" ref="G144:G154">E144*F144</f>
        <v>557.8987432883501</v>
      </c>
      <c r="H144" s="64">
        <f t="shared" si="23"/>
        <v>0.27894937164417505</v>
      </c>
    </row>
    <row r="145" spans="1:8" ht="12.75">
      <c r="A145" s="93" t="str">
        <f t="shared" si="24"/>
        <v>Mar</v>
      </c>
      <c r="B145" s="61">
        <f>'INPUT 1 - 2010 MATERIAL USAGE'!D8*'% PRODUCTION'!F6</f>
        <v>228.88153570804107</v>
      </c>
      <c r="C145" s="61">
        <v>6.5</v>
      </c>
      <c r="D145" s="61">
        <f t="shared" si="21"/>
        <v>1585.2335163138926</v>
      </c>
      <c r="E145" s="61">
        <f t="shared" si="22"/>
        <v>1487.729982102267</v>
      </c>
      <c r="F145" s="63">
        <v>0.5</v>
      </c>
      <c r="G145" s="70">
        <f t="shared" si="25"/>
        <v>743.8649910511335</v>
      </c>
      <c r="H145" s="64">
        <f t="shared" si="23"/>
        <v>0.3719324955255668</v>
      </c>
    </row>
    <row r="146" spans="1:8" ht="12.75">
      <c r="A146" s="93" t="str">
        <f t="shared" si="24"/>
        <v>Apr</v>
      </c>
      <c r="B146" s="61">
        <f>'INPUT 1 - 2010 MATERIAL USAGE'!E8*'% PRODUCTION'!F6</f>
        <v>171.6611517810308</v>
      </c>
      <c r="C146" s="61">
        <v>6.5</v>
      </c>
      <c r="D146" s="61">
        <f t="shared" si="21"/>
        <v>1188.9251372354195</v>
      </c>
      <c r="E146" s="61">
        <f t="shared" si="22"/>
        <v>1115.7974865767003</v>
      </c>
      <c r="F146" s="63">
        <v>0.5</v>
      </c>
      <c r="G146" s="70">
        <f t="shared" si="25"/>
        <v>557.8987432883501</v>
      </c>
      <c r="H146" s="64">
        <f t="shared" si="23"/>
        <v>0.27894937164417505</v>
      </c>
    </row>
    <row r="147" spans="1:8" ht="12.75">
      <c r="A147" s="93" t="str">
        <f t="shared" si="24"/>
        <v>May</v>
      </c>
      <c r="B147" s="61">
        <f>'INPUT 1 - 2010 MATERIAL USAGE'!F8*'% PRODUCTION'!F6</f>
        <v>57.22038392701027</v>
      </c>
      <c r="C147" s="61">
        <v>6.5</v>
      </c>
      <c r="D147" s="61">
        <f t="shared" si="21"/>
        <v>396.30837907847314</v>
      </c>
      <c r="E147" s="61">
        <f t="shared" si="22"/>
        <v>371.93249552556676</v>
      </c>
      <c r="F147" s="63">
        <v>0.5</v>
      </c>
      <c r="G147" s="70">
        <f t="shared" si="25"/>
        <v>185.96624776278338</v>
      </c>
      <c r="H147" s="64">
        <f t="shared" si="23"/>
        <v>0.0929831238813917</v>
      </c>
    </row>
    <row r="148" spans="1:8" ht="12.75">
      <c r="A148" s="93" t="str">
        <f t="shared" si="24"/>
        <v>Jun</v>
      </c>
      <c r="B148" s="61">
        <f>'INPUT 1 - 2010 MATERIAL USAGE'!G8*'% PRODUCTION'!F6</f>
        <v>171.6611517810308</v>
      </c>
      <c r="C148" s="61">
        <v>6.5</v>
      </c>
      <c r="D148" s="61">
        <f t="shared" si="21"/>
        <v>1188.9251372354195</v>
      </c>
      <c r="E148" s="61">
        <f t="shared" si="22"/>
        <v>1115.7974865767003</v>
      </c>
      <c r="F148" s="63">
        <v>0.5</v>
      </c>
      <c r="G148" s="70">
        <f t="shared" si="25"/>
        <v>557.8987432883501</v>
      </c>
      <c r="H148" s="64">
        <f t="shared" si="23"/>
        <v>0.27894937164417505</v>
      </c>
    </row>
    <row r="149" spans="1:8" ht="12.75">
      <c r="A149" s="93" t="str">
        <f t="shared" si="24"/>
        <v>Jul</v>
      </c>
      <c r="B149" s="61">
        <f>'INPUT 1 - 2010 MATERIAL USAGE'!H8*'% PRODUCTION'!$F$6</f>
        <v>85.8305758905154</v>
      </c>
      <c r="C149" s="61">
        <v>6.5</v>
      </c>
      <c r="D149" s="61">
        <f t="shared" si="21"/>
        <v>594.4625686177097</v>
      </c>
      <c r="E149" s="61">
        <f t="shared" si="22"/>
        <v>557.8987432883501</v>
      </c>
      <c r="F149" s="63">
        <v>0.5</v>
      </c>
      <c r="G149" s="70">
        <f t="shared" si="25"/>
        <v>278.9493716441751</v>
      </c>
      <c r="H149" s="64">
        <f t="shared" si="23"/>
        <v>0.13947468582208752</v>
      </c>
    </row>
    <row r="150" spans="1:8" ht="12.75">
      <c r="A150" s="93" t="str">
        <f t="shared" si="24"/>
        <v>Aug</v>
      </c>
      <c r="B150" s="61">
        <f>'INPUT 1 - 2010 MATERIAL USAGE'!I8*'% PRODUCTION'!$F$6</f>
        <v>0</v>
      </c>
      <c r="C150" s="61">
        <v>6.5</v>
      </c>
      <c r="D150" s="61">
        <f t="shared" si="21"/>
        <v>0</v>
      </c>
      <c r="E150" s="61">
        <f t="shared" si="22"/>
        <v>0</v>
      </c>
      <c r="F150" s="63">
        <v>0.5</v>
      </c>
      <c r="G150" s="70">
        <f t="shared" si="25"/>
        <v>0</v>
      </c>
      <c r="H150" s="64">
        <f t="shared" si="23"/>
        <v>0</v>
      </c>
    </row>
    <row r="151" spans="1:8" ht="12.75">
      <c r="A151" s="93" t="str">
        <f t="shared" si="24"/>
        <v>Sep</v>
      </c>
      <c r="B151" s="61">
        <f>'INPUT 1 - 2010 MATERIAL USAGE'!J8*'% PRODUCTION'!$F$6</f>
        <v>0</v>
      </c>
      <c r="C151" s="61">
        <v>6.5</v>
      </c>
      <c r="D151" s="61">
        <f t="shared" si="21"/>
        <v>0</v>
      </c>
      <c r="E151" s="61">
        <f t="shared" si="22"/>
        <v>0</v>
      </c>
      <c r="F151" s="63">
        <v>0.5</v>
      </c>
      <c r="G151" s="70">
        <f t="shared" si="25"/>
        <v>0</v>
      </c>
      <c r="H151" s="64">
        <f t="shared" si="23"/>
        <v>0</v>
      </c>
    </row>
    <row r="152" spans="1:8" ht="12.75">
      <c r="A152" s="93" t="str">
        <f t="shared" si="24"/>
        <v>Oct</v>
      </c>
      <c r="B152" s="61">
        <f>'INPUT 1 - 2010 MATERIAL USAGE'!K8*'% PRODUCTION'!$F$6</f>
        <v>0</v>
      </c>
      <c r="C152" s="61">
        <v>6.5</v>
      </c>
      <c r="D152" s="61">
        <f t="shared" si="21"/>
        <v>0</v>
      </c>
      <c r="E152" s="61">
        <f t="shared" si="22"/>
        <v>0</v>
      </c>
      <c r="F152" s="63">
        <v>0.5</v>
      </c>
      <c r="G152" s="70">
        <f t="shared" si="25"/>
        <v>0</v>
      </c>
      <c r="H152" s="64">
        <f t="shared" si="23"/>
        <v>0</v>
      </c>
    </row>
    <row r="153" spans="1:8" ht="12.75">
      <c r="A153" s="93" t="str">
        <f t="shared" si="24"/>
        <v>Nov</v>
      </c>
      <c r="B153" s="61">
        <f>'INPUT 1 - 2010 MATERIAL USAGE'!L8*'% PRODUCTION'!$F$6</f>
        <v>0</v>
      </c>
      <c r="C153" s="61">
        <v>6.5</v>
      </c>
      <c r="D153" s="61">
        <f t="shared" si="21"/>
        <v>0</v>
      </c>
      <c r="E153" s="61">
        <f t="shared" si="22"/>
        <v>0</v>
      </c>
      <c r="F153" s="63">
        <v>0.5</v>
      </c>
      <c r="G153" s="70">
        <f t="shared" si="25"/>
        <v>0</v>
      </c>
      <c r="H153" s="64">
        <f t="shared" si="23"/>
        <v>0</v>
      </c>
    </row>
    <row r="154" spans="1:8" ht="13.5" thickBot="1">
      <c r="A154" s="93" t="str">
        <f t="shared" si="24"/>
        <v>Dec</v>
      </c>
      <c r="B154" s="61">
        <f>'INPUT 1 - 2010 MATERIAL USAGE'!M8*'% PRODUCTION'!$F$6</f>
        <v>0</v>
      </c>
      <c r="C154" s="61">
        <v>6.5</v>
      </c>
      <c r="D154" s="61">
        <f t="shared" si="21"/>
        <v>0</v>
      </c>
      <c r="E154" s="61">
        <f t="shared" si="22"/>
        <v>0</v>
      </c>
      <c r="F154" s="63">
        <v>0.5</v>
      </c>
      <c r="G154" s="70">
        <f t="shared" si="25"/>
        <v>0</v>
      </c>
      <c r="H154" s="64">
        <f t="shared" si="23"/>
        <v>0</v>
      </c>
    </row>
    <row r="155" spans="1:8" ht="14.25" thickBot="1" thickTop="1">
      <c r="A155" s="65" t="s">
        <v>11</v>
      </c>
      <c r="B155" s="74">
        <f>SUM(B143:B154)</f>
        <v>1001.3567187226798</v>
      </c>
      <c r="C155" s="74"/>
      <c r="D155" s="74">
        <f>SUM(D143:D154)</f>
        <v>6935.39663387328</v>
      </c>
      <c r="E155" s="74">
        <f>SUM(E143:E154)</f>
        <v>6508.818671697419</v>
      </c>
      <c r="F155" s="74"/>
      <c r="G155" s="74">
        <f>SUM(G143:G154)</f>
        <v>3254.4093358487094</v>
      </c>
      <c r="H155" s="75">
        <f>SUM(H143:H154)</f>
        <v>1.6272046679243546</v>
      </c>
    </row>
    <row r="156" spans="1:8" ht="12.75">
      <c r="A156" s="33"/>
      <c r="B156" s="55"/>
      <c r="C156" s="55"/>
      <c r="D156" s="55"/>
      <c r="E156" s="55"/>
      <c r="F156" s="55"/>
      <c r="G156" s="55"/>
      <c r="H156" s="55"/>
    </row>
    <row r="157" spans="1:8" ht="13.5" thickBot="1">
      <c r="A157" s="33"/>
      <c r="B157" s="55"/>
      <c r="C157" s="55"/>
      <c r="D157" s="55"/>
      <c r="E157" s="55"/>
      <c r="F157" s="55"/>
      <c r="G157" s="55"/>
      <c r="H157" s="55"/>
    </row>
    <row r="158" spans="1:8" ht="13.5" thickBot="1">
      <c r="A158" s="369" t="s">
        <v>198</v>
      </c>
      <c r="B158" s="370"/>
      <c r="C158" s="370"/>
      <c r="D158" s="370"/>
      <c r="E158" s="370"/>
      <c r="F158" s="370"/>
      <c r="G158" s="370"/>
      <c r="H158" s="371"/>
    </row>
    <row r="159" spans="1:8" ht="36.75" thickBot="1">
      <c r="A159" s="50" t="s">
        <v>6</v>
      </c>
      <c r="B159" s="51" t="s">
        <v>7</v>
      </c>
      <c r="C159" s="51" t="s">
        <v>8</v>
      </c>
      <c r="D159" s="51" t="s">
        <v>9</v>
      </c>
      <c r="E159" s="52" t="s">
        <v>10</v>
      </c>
      <c r="F159" s="52" t="s">
        <v>3</v>
      </c>
      <c r="G159" s="217" t="s">
        <v>4</v>
      </c>
      <c r="H159" s="52" t="s">
        <v>5</v>
      </c>
    </row>
    <row r="160" spans="1:8" ht="13.5" thickBot="1">
      <c r="A160" s="359" t="s">
        <v>127</v>
      </c>
      <c r="B160" s="360"/>
      <c r="C160" s="360"/>
      <c r="D160" s="360"/>
      <c r="E160" s="360"/>
      <c r="F160" s="360"/>
      <c r="G160" s="360"/>
      <c r="H160" s="361"/>
    </row>
    <row r="161" spans="1:8" ht="12.75">
      <c r="A161" s="93" t="str">
        <f>A143</f>
        <v>Jan</v>
      </c>
      <c r="B161" s="61">
        <f>'INPUT 1 - 2010 MATERIAL USAGE'!B8*'% PRODUCTION'!F7</f>
        <v>57.70072386711769</v>
      </c>
      <c r="C161" s="61">
        <v>6.5</v>
      </c>
      <c r="D161" s="61">
        <f aca="true" t="shared" si="26" ref="D161:D172">B161*6.926</f>
        <v>399.6352135036571</v>
      </c>
      <c r="E161" s="61">
        <f aca="true" t="shared" si="27" ref="E161:E172">B161*C161</f>
        <v>375.05470513626494</v>
      </c>
      <c r="F161" s="63">
        <f>F143</f>
        <v>0.5</v>
      </c>
      <c r="G161" s="70">
        <f>E161*F161</f>
        <v>187.52735256813247</v>
      </c>
      <c r="H161" s="64">
        <f aca="true" t="shared" si="28" ref="H161:H172">G161/2000</f>
        <v>0.09376367628406623</v>
      </c>
    </row>
    <row r="162" spans="1:8" ht="12.75">
      <c r="A162" s="93" t="str">
        <f aca="true" t="shared" si="29" ref="A162:A172">A144</f>
        <v>Feb</v>
      </c>
      <c r="B162" s="61">
        <f>'INPUT 1 - 2010 MATERIAL USAGE'!C8*'% PRODUCTION'!F7</f>
        <v>86.55108580067653</v>
      </c>
      <c r="C162" s="61">
        <v>6.5</v>
      </c>
      <c r="D162" s="61">
        <f t="shared" si="26"/>
        <v>599.4528202554857</v>
      </c>
      <c r="E162" s="61">
        <f t="shared" si="27"/>
        <v>562.5820577043975</v>
      </c>
      <c r="F162" s="63">
        <f aca="true" t="shared" si="30" ref="F162:F172">F144</f>
        <v>0.5</v>
      </c>
      <c r="G162" s="70">
        <f aca="true" t="shared" si="31" ref="G162:G172">E162*F162</f>
        <v>281.29102885219874</v>
      </c>
      <c r="H162" s="64">
        <f t="shared" si="28"/>
        <v>0.14064551442609938</v>
      </c>
    </row>
    <row r="163" spans="1:8" ht="12.75">
      <c r="A163" s="93" t="str">
        <f t="shared" si="29"/>
        <v>Mar</v>
      </c>
      <c r="B163" s="61">
        <f>'INPUT 1 - 2010 MATERIAL USAGE'!D8*'% PRODUCTION'!F7</f>
        <v>115.40144773423538</v>
      </c>
      <c r="C163" s="61">
        <v>6.5</v>
      </c>
      <c r="D163" s="61">
        <f t="shared" si="26"/>
        <v>799.2704270073142</v>
      </c>
      <c r="E163" s="61">
        <f t="shared" si="27"/>
        <v>750.1094102725299</v>
      </c>
      <c r="F163" s="63">
        <f t="shared" si="30"/>
        <v>0.5</v>
      </c>
      <c r="G163" s="70">
        <f t="shared" si="31"/>
        <v>375.05470513626494</v>
      </c>
      <c r="H163" s="64">
        <f t="shared" si="28"/>
        <v>0.18752735256813247</v>
      </c>
    </row>
    <row r="164" spans="1:8" ht="12.75">
      <c r="A164" s="93" t="str">
        <f t="shared" si="29"/>
        <v>Apr</v>
      </c>
      <c r="B164" s="61">
        <f>'INPUT 1 - 2010 MATERIAL USAGE'!E8*'% PRODUCTION'!F7</f>
        <v>86.55108580067653</v>
      </c>
      <c r="C164" s="61">
        <v>6.5</v>
      </c>
      <c r="D164" s="61">
        <f t="shared" si="26"/>
        <v>599.4528202554857</v>
      </c>
      <c r="E164" s="61">
        <f t="shared" si="27"/>
        <v>562.5820577043975</v>
      </c>
      <c r="F164" s="63">
        <f t="shared" si="30"/>
        <v>0.5</v>
      </c>
      <c r="G164" s="70">
        <f t="shared" si="31"/>
        <v>281.29102885219874</v>
      </c>
      <c r="H164" s="64">
        <f t="shared" si="28"/>
        <v>0.14064551442609938</v>
      </c>
    </row>
    <row r="165" spans="1:8" ht="12.75">
      <c r="A165" s="93" t="str">
        <f t="shared" si="29"/>
        <v>May</v>
      </c>
      <c r="B165" s="61">
        <f>'INPUT 1 - 2010 MATERIAL USAGE'!F8*'% PRODUCTION'!F7</f>
        <v>28.850361933558844</v>
      </c>
      <c r="C165" s="61">
        <v>6.5</v>
      </c>
      <c r="D165" s="61">
        <f t="shared" si="26"/>
        <v>199.81760675182855</v>
      </c>
      <c r="E165" s="61">
        <f t="shared" si="27"/>
        <v>187.52735256813247</v>
      </c>
      <c r="F165" s="63">
        <f t="shared" si="30"/>
        <v>0.5</v>
      </c>
      <c r="G165" s="70">
        <f t="shared" si="31"/>
        <v>93.76367628406624</v>
      </c>
      <c r="H165" s="64">
        <f t="shared" si="28"/>
        <v>0.046881838142033117</v>
      </c>
    </row>
    <row r="166" spans="1:8" ht="12.75">
      <c r="A166" s="93" t="str">
        <f t="shared" si="29"/>
        <v>Jun</v>
      </c>
      <c r="B166" s="61">
        <f>'INPUT 1 - 2010 MATERIAL USAGE'!G8*'% PRODUCTION'!F7</f>
        <v>86.55108580067653</v>
      </c>
      <c r="C166" s="61">
        <v>6.5</v>
      </c>
      <c r="D166" s="61">
        <f t="shared" si="26"/>
        <v>599.4528202554857</v>
      </c>
      <c r="E166" s="61">
        <f t="shared" si="27"/>
        <v>562.5820577043975</v>
      </c>
      <c r="F166" s="63">
        <f t="shared" si="30"/>
        <v>0.5</v>
      </c>
      <c r="G166" s="70">
        <f t="shared" si="31"/>
        <v>281.29102885219874</v>
      </c>
      <c r="H166" s="64">
        <f t="shared" si="28"/>
        <v>0.14064551442609938</v>
      </c>
    </row>
    <row r="167" spans="1:8" ht="12.75">
      <c r="A167" s="93" t="str">
        <f t="shared" si="29"/>
        <v>Jul</v>
      </c>
      <c r="B167" s="61">
        <f>'INPUT 1 - 2010 MATERIAL USAGE'!H8*'% PRODUCTION'!$F$7</f>
        <v>43.275542900338266</v>
      </c>
      <c r="C167" s="61">
        <v>6.5</v>
      </c>
      <c r="D167" s="61">
        <f t="shared" si="26"/>
        <v>299.72641012774284</v>
      </c>
      <c r="E167" s="61">
        <f t="shared" si="27"/>
        <v>281.29102885219874</v>
      </c>
      <c r="F167" s="63">
        <f t="shared" si="30"/>
        <v>0.5</v>
      </c>
      <c r="G167" s="70">
        <f t="shared" si="31"/>
        <v>140.64551442609937</v>
      </c>
      <c r="H167" s="64">
        <f t="shared" si="28"/>
        <v>0.07032275721304969</v>
      </c>
    </row>
    <row r="168" spans="1:8" ht="12.75">
      <c r="A168" s="93" t="str">
        <f t="shared" si="29"/>
        <v>Aug</v>
      </c>
      <c r="B168" s="61">
        <f>'INPUT 1 - 2010 MATERIAL USAGE'!I8*'% PRODUCTION'!$F$7</f>
        <v>0</v>
      </c>
      <c r="C168" s="61">
        <v>6.5</v>
      </c>
      <c r="D168" s="61">
        <f t="shared" si="26"/>
        <v>0</v>
      </c>
      <c r="E168" s="61">
        <f t="shared" si="27"/>
        <v>0</v>
      </c>
      <c r="F168" s="63">
        <f t="shared" si="30"/>
        <v>0.5</v>
      </c>
      <c r="G168" s="70">
        <f t="shared" si="31"/>
        <v>0</v>
      </c>
      <c r="H168" s="64">
        <f t="shared" si="28"/>
        <v>0</v>
      </c>
    </row>
    <row r="169" spans="1:8" ht="12.75">
      <c r="A169" s="93" t="str">
        <f t="shared" si="29"/>
        <v>Sep</v>
      </c>
      <c r="B169" s="61">
        <f>'INPUT 1 - 2010 MATERIAL USAGE'!J8*'% PRODUCTION'!$F$7</f>
        <v>0</v>
      </c>
      <c r="C169" s="61">
        <v>6.5</v>
      </c>
      <c r="D169" s="61">
        <f t="shared" si="26"/>
        <v>0</v>
      </c>
      <c r="E169" s="61">
        <f t="shared" si="27"/>
        <v>0</v>
      </c>
      <c r="F169" s="63">
        <f t="shared" si="30"/>
        <v>0.5</v>
      </c>
      <c r="G169" s="70">
        <f t="shared" si="31"/>
        <v>0</v>
      </c>
      <c r="H169" s="64">
        <f t="shared" si="28"/>
        <v>0</v>
      </c>
    </row>
    <row r="170" spans="1:8" ht="12.75">
      <c r="A170" s="93" t="str">
        <f t="shared" si="29"/>
        <v>Oct</v>
      </c>
      <c r="B170" s="61">
        <f>'INPUT 1 - 2010 MATERIAL USAGE'!K8*'% PRODUCTION'!$F$7</f>
        <v>0</v>
      </c>
      <c r="C170" s="61">
        <v>6.5</v>
      </c>
      <c r="D170" s="61">
        <f t="shared" si="26"/>
        <v>0</v>
      </c>
      <c r="E170" s="61">
        <f t="shared" si="27"/>
        <v>0</v>
      </c>
      <c r="F170" s="63">
        <f t="shared" si="30"/>
        <v>0.5</v>
      </c>
      <c r="G170" s="70">
        <f t="shared" si="31"/>
        <v>0</v>
      </c>
      <c r="H170" s="64">
        <f t="shared" si="28"/>
        <v>0</v>
      </c>
    </row>
    <row r="171" spans="1:8" ht="12.75">
      <c r="A171" s="93" t="str">
        <f t="shared" si="29"/>
        <v>Nov</v>
      </c>
      <c r="B171" s="61">
        <f>'INPUT 1 - 2010 MATERIAL USAGE'!L8*'% PRODUCTION'!$F$7</f>
        <v>0</v>
      </c>
      <c r="C171" s="61">
        <v>6.5</v>
      </c>
      <c r="D171" s="61">
        <f t="shared" si="26"/>
        <v>0</v>
      </c>
      <c r="E171" s="61">
        <f t="shared" si="27"/>
        <v>0</v>
      </c>
      <c r="F171" s="63">
        <f t="shared" si="30"/>
        <v>0.5</v>
      </c>
      <c r="G171" s="70">
        <f t="shared" si="31"/>
        <v>0</v>
      </c>
      <c r="H171" s="64">
        <f t="shared" si="28"/>
        <v>0</v>
      </c>
    </row>
    <row r="172" spans="1:8" ht="13.5" thickBot="1">
      <c r="A172" s="93" t="str">
        <f t="shared" si="29"/>
        <v>Dec</v>
      </c>
      <c r="B172" s="61">
        <f>'INPUT 1 - 2010 MATERIAL USAGE'!M8*'% PRODUCTION'!$F$7</f>
        <v>0</v>
      </c>
      <c r="C172" s="61">
        <v>6.5</v>
      </c>
      <c r="D172" s="61">
        <f t="shared" si="26"/>
        <v>0</v>
      </c>
      <c r="E172" s="61">
        <f t="shared" si="27"/>
        <v>0</v>
      </c>
      <c r="F172" s="63">
        <f t="shared" si="30"/>
        <v>0.5</v>
      </c>
      <c r="G172" s="70">
        <f t="shared" si="31"/>
        <v>0</v>
      </c>
      <c r="H172" s="64">
        <f t="shared" si="28"/>
        <v>0</v>
      </c>
    </row>
    <row r="173" spans="1:8" ht="14.25" thickBot="1" thickTop="1">
      <c r="A173" s="65" t="s">
        <v>11</v>
      </c>
      <c r="B173" s="74">
        <f>SUM(B161:B172)</f>
        <v>504.8813338372798</v>
      </c>
      <c r="C173" s="74"/>
      <c r="D173" s="74">
        <f>SUM(D161:D172)</f>
        <v>3496.8081181569996</v>
      </c>
      <c r="E173" s="74">
        <f>SUM(E161:E172)</f>
        <v>3281.7286699423184</v>
      </c>
      <c r="F173" s="74"/>
      <c r="G173" s="74">
        <f>SUM(G161:G172)</f>
        <v>1640.8643349711592</v>
      </c>
      <c r="H173" s="75">
        <f>SUM(H161:H172)</f>
        <v>0.8204321674855798</v>
      </c>
    </row>
    <row r="174" spans="1:8" ht="12.75">
      <c r="A174" s="33"/>
      <c r="B174" s="55"/>
      <c r="C174" s="55"/>
      <c r="D174" s="55"/>
      <c r="E174" s="55"/>
      <c r="F174" s="55"/>
      <c r="G174" s="55"/>
      <c r="H174" s="55"/>
    </row>
    <row r="175" spans="1:8" ht="12.75">
      <c r="A175" s="33" t="s">
        <v>92</v>
      </c>
      <c r="B175" s="55"/>
      <c r="C175" s="55"/>
      <c r="D175" s="55"/>
      <c r="E175" s="55"/>
      <c r="F175" s="55"/>
      <c r="G175" s="55"/>
      <c r="H175" s="55"/>
    </row>
    <row r="176" spans="1:8" ht="13.5" thickBot="1">
      <c r="A176" s="33"/>
      <c r="B176" s="55"/>
      <c r="C176" s="55"/>
      <c r="D176" s="55"/>
      <c r="E176" s="55"/>
      <c r="F176" s="55"/>
      <c r="G176" s="55"/>
      <c r="H176" s="55"/>
    </row>
    <row r="177" spans="1:8" ht="13.5" thickBot="1">
      <c r="A177" s="354" t="s">
        <v>199</v>
      </c>
      <c r="B177" s="355"/>
      <c r="C177" s="355"/>
      <c r="D177" s="355"/>
      <c r="E177" s="355"/>
      <c r="F177" s="355"/>
      <c r="G177" s="355"/>
      <c r="H177" s="356"/>
    </row>
    <row r="178" spans="1:8" ht="36.75" thickBot="1">
      <c r="A178" s="50" t="s">
        <v>6</v>
      </c>
      <c r="B178" s="51" t="s">
        <v>7</v>
      </c>
      <c r="C178" s="51" t="s">
        <v>8</v>
      </c>
      <c r="D178" s="51" t="s">
        <v>9</v>
      </c>
      <c r="E178" s="52" t="s">
        <v>10</v>
      </c>
      <c r="F178" s="52" t="s">
        <v>3</v>
      </c>
      <c r="G178" s="217" t="s">
        <v>4</v>
      </c>
      <c r="H178" s="52" t="s">
        <v>5</v>
      </c>
    </row>
    <row r="179" spans="1:8" ht="13.5" thickBot="1">
      <c r="A179" s="359" t="s">
        <v>56</v>
      </c>
      <c r="B179" s="360"/>
      <c r="C179" s="360"/>
      <c r="D179" s="360"/>
      <c r="E179" s="360"/>
      <c r="F179" s="360"/>
      <c r="G179" s="360"/>
      <c r="H179" s="361"/>
    </row>
    <row r="180" spans="1:8" ht="12.75">
      <c r="A180" s="93" t="str">
        <f>A161</f>
        <v>Jan</v>
      </c>
      <c r="B180" s="61">
        <f>'INPUT 1 - 2010 MATERIAL USAGE'!B9*'% PRODUCTION'!F5</f>
        <v>0</v>
      </c>
      <c r="C180" s="61">
        <v>3.54</v>
      </c>
      <c r="D180" s="61">
        <f aca="true" t="shared" si="32" ref="D180:D191">B180*6.926</f>
        <v>0</v>
      </c>
      <c r="E180" s="61">
        <f aca="true" t="shared" si="33" ref="E180:E191">B180*C180</f>
        <v>0</v>
      </c>
      <c r="F180" s="63">
        <v>1</v>
      </c>
      <c r="G180" s="70">
        <f>E180*F180</f>
        <v>0</v>
      </c>
      <c r="H180" s="64">
        <f aca="true" t="shared" si="34" ref="H180:H191">G180/2000</f>
        <v>0</v>
      </c>
    </row>
    <row r="181" spans="1:8" ht="12.75">
      <c r="A181" s="93" t="str">
        <f aca="true" t="shared" si="35" ref="A181:A191">A162</f>
        <v>Feb</v>
      </c>
      <c r="B181" s="61">
        <f>'INPUT 1 - 2010 MATERIAL USAGE'!C9*'% PRODUCTION'!F5</f>
        <v>0</v>
      </c>
      <c r="C181" s="61">
        <v>3.54</v>
      </c>
      <c r="D181" s="61">
        <f t="shared" si="32"/>
        <v>0</v>
      </c>
      <c r="E181" s="61">
        <f t="shared" si="33"/>
        <v>0</v>
      </c>
      <c r="F181" s="63">
        <v>1</v>
      </c>
      <c r="G181" s="70">
        <f aca="true" t="shared" si="36" ref="G181:G191">E181*F181</f>
        <v>0</v>
      </c>
      <c r="H181" s="64">
        <f t="shared" si="34"/>
        <v>0</v>
      </c>
    </row>
    <row r="182" spans="1:8" ht="12.75">
      <c r="A182" s="93" t="str">
        <f t="shared" si="35"/>
        <v>Mar</v>
      </c>
      <c r="B182" s="61">
        <f>'INPUT 1 - 2010 MATERIAL USAGE'!D9*'% PRODUCTION'!F5</f>
        <v>11.964627069715439</v>
      </c>
      <c r="C182" s="61">
        <v>3.54</v>
      </c>
      <c r="D182" s="61">
        <f t="shared" si="32"/>
        <v>82.86700708484913</v>
      </c>
      <c r="E182" s="61">
        <f t="shared" si="33"/>
        <v>42.35477982679265</v>
      </c>
      <c r="F182" s="63">
        <v>1</v>
      </c>
      <c r="G182" s="70">
        <f t="shared" si="36"/>
        <v>42.35477982679265</v>
      </c>
      <c r="H182" s="64">
        <f t="shared" si="34"/>
        <v>0.021177389913396325</v>
      </c>
    </row>
    <row r="183" spans="1:8" ht="12.75">
      <c r="A183" s="93" t="str">
        <f t="shared" si="35"/>
        <v>Apr</v>
      </c>
      <c r="B183" s="61">
        <f>'INPUT 1 - 2010 MATERIAL USAGE'!E9*'% PRODUCTION'!F5</f>
        <v>0</v>
      </c>
      <c r="C183" s="61">
        <v>3.54</v>
      </c>
      <c r="D183" s="61">
        <f t="shared" si="32"/>
        <v>0</v>
      </c>
      <c r="E183" s="61">
        <f t="shared" si="33"/>
        <v>0</v>
      </c>
      <c r="F183" s="63">
        <v>1</v>
      </c>
      <c r="G183" s="70">
        <f t="shared" si="36"/>
        <v>0</v>
      </c>
      <c r="H183" s="64">
        <f t="shared" si="34"/>
        <v>0</v>
      </c>
    </row>
    <row r="184" spans="1:8" ht="12.75">
      <c r="A184" s="93" t="str">
        <f t="shared" si="35"/>
        <v>May</v>
      </c>
      <c r="B184" s="61">
        <f>'INPUT 1 - 2010 MATERIAL USAGE'!F9*'% PRODUCTION'!F5</f>
        <v>6.526160219844785</v>
      </c>
      <c r="C184" s="61">
        <v>3.54</v>
      </c>
      <c r="D184" s="61">
        <f t="shared" si="32"/>
        <v>45.200185682644985</v>
      </c>
      <c r="E184" s="61">
        <f t="shared" si="33"/>
        <v>23.10260717825054</v>
      </c>
      <c r="F184" s="63">
        <v>1</v>
      </c>
      <c r="G184" s="70">
        <f t="shared" si="36"/>
        <v>23.10260717825054</v>
      </c>
      <c r="H184" s="64">
        <f t="shared" si="34"/>
        <v>0.01155130358912527</v>
      </c>
    </row>
    <row r="185" spans="1:8" ht="12.75">
      <c r="A185" s="93" t="str">
        <f t="shared" si="35"/>
        <v>Jun</v>
      </c>
      <c r="B185" s="61">
        <f>'INPUT 1 - 2010 MATERIAL USAGE'!G9*'% PRODUCTION'!$F$5</f>
        <v>5.438466849870654</v>
      </c>
      <c r="C185" s="61">
        <v>3.54</v>
      </c>
      <c r="D185" s="61">
        <f t="shared" si="32"/>
        <v>37.66682140220415</v>
      </c>
      <c r="E185" s="61">
        <f t="shared" si="33"/>
        <v>19.252172648542114</v>
      </c>
      <c r="F185" s="63">
        <v>1</v>
      </c>
      <c r="G185" s="70">
        <f t="shared" si="36"/>
        <v>19.252172648542114</v>
      </c>
      <c r="H185" s="64">
        <f t="shared" si="34"/>
        <v>0.009626086324271057</v>
      </c>
    </row>
    <row r="186" spans="1:8" ht="12.75">
      <c r="A186" s="93" t="str">
        <f t="shared" si="35"/>
        <v>Jul</v>
      </c>
      <c r="B186" s="61">
        <f>'INPUT 1 - 2010 MATERIAL USAGE'!H9*'% PRODUCTION'!$F$5</f>
        <v>5.438466849870654</v>
      </c>
      <c r="C186" s="61">
        <v>3.54</v>
      </c>
      <c r="D186" s="61">
        <f t="shared" si="32"/>
        <v>37.66682140220415</v>
      </c>
      <c r="E186" s="61">
        <f t="shared" si="33"/>
        <v>19.252172648542114</v>
      </c>
      <c r="F186" s="63">
        <v>1</v>
      </c>
      <c r="G186" s="70">
        <f t="shared" si="36"/>
        <v>19.252172648542114</v>
      </c>
      <c r="H186" s="64">
        <f t="shared" si="34"/>
        <v>0.009626086324271057</v>
      </c>
    </row>
    <row r="187" spans="1:8" ht="12.75">
      <c r="A187" s="93" t="str">
        <f t="shared" si="35"/>
        <v>Aug</v>
      </c>
      <c r="B187" s="61">
        <f>'INPUT 1 - 2010 MATERIAL USAGE'!I9*'% PRODUCTION'!$F$5</f>
        <v>0</v>
      </c>
      <c r="C187" s="61">
        <v>3.54</v>
      </c>
      <c r="D187" s="61">
        <f t="shared" si="32"/>
        <v>0</v>
      </c>
      <c r="E187" s="61">
        <f t="shared" si="33"/>
        <v>0</v>
      </c>
      <c r="F187" s="63">
        <v>1</v>
      </c>
      <c r="G187" s="70">
        <f t="shared" si="36"/>
        <v>0</v>
      </c>
      <c r="H187" s="64">
        <f t="shared" si="34"/>
        <v>0</v>
      </c>
    </row>
    <row r="188" spans="1:8" ht="12.75">
      <c r="A188" s="93" t="str">
        <f t="shared" si="35"/>
        <v>Sep</v>
      </c>
      <c r="B188" s="61">
        <f>'INPUT 1 - 2010 MATERIAL USAGE'!J9*'% PRODUCTION'!$F$5</f>
        <v>0</v>
      </c>
      <c r="C188" s="61">
        <v>3.54</v>
      </c>
      <c r="D188" s="61">
        <f t="shared" si="32"/>
        <v>0</v>
      </c>
      <c r="E188" s="61">
        <f t="shared" si="33"/>
        <v>0</v>
      </c>
      <c r="F188" s="63">
        <v>1</v>
      </c>
      <c r="G188" s="70">
        <f t="shared" si="36"/>
        <v>0</v>
      </c>
      <c r="H188" s="64">
        <f t="shared" si="34"/>
        <v>0</v>
      </c>
    </row>
    <row r="189" spans="1:8" ht="12.75">
      <c r="A189" s="93" t="str">
        <f t="shared" si="35"/>
        <v>Oct</v>
      </c>
      <c r="B189" s="61">
        <f>'INPUT 1 - 2010 MATERIAL USAGE'!K9*'% PRODUCTION'!$F$5</f>
        <v>0</v>
      </c>
      <c r="C189" s="61">
        <v>3.54</v>
      </c>
      <c r="D189" s="61">
        <f t="shared" si="32"/>
        <v>0</v>
      </c>
      <c r="E189" s="61">
        <f t="shared" si="33"/>
        <v>0</v>
      </c>
      <c r="F189" s="63">
        <v>1</v>
      </c>
      <c r="G189" s="70">
        <f t="shared" si="36"/>
        <v>0</v>
      </c>
      <c r="H189" s="64">
        <f t="shared" si="34"/>
        <v>0</v>
      </c>
    </row>
    <row r="190" spans="1:8" ht="12.75">
      <c r="A190" s="93" t="str">
        <f t="shared" si="35"/>
        <v>Nov</v>
      </c>
      <c r="B190" s="61">
        <f>'INPUT 1 - 2010 MATERIAL USAGE'!L9*'% PRODUCTION'!$F$5</f>
        <v>0</v>
      </c>
      <c r="C190" s="61">
        <v>3.54</v>
      </c>
      <c r="D190" s="61">
        <f t="shared" si="32"/>
        <v>0</v>
      </c>
      <c r="E190" s="61">
        <f t="shared" si="33"/>
        <v>0</v>
      </c>
      <c r="F190" s="63">
        <v>1</v>
      </c>
      <c r="G190" s="70">
        <f t="shared" si="36"/>
        <v>0</v>
      </c>
      <c r="H190" s="64">
        <f t="shared" si="34"/>
        <v>0</v>
      </c>
    </row>
    <row r="191" spans="1:8" ht="13.5" thickBot="1">
      <c r="A191" s="93" t="str">
        <f t="shared" si="35"/>
        <v>Dec</v>
      </c>
      <c r="B191" s="61">
        <f>'INPUT 1 - 2010 MATERIAL USAGE'!M9*'% PRODUCTION'!$F$5</f>
        <v>0</v>
      </c>
      <c r="C191" s="61">
        <v>3.54</v>
      </c>
      <c r="D191" s="61">
        <f t="shared" si="32"/>
        <v>0</v>
      </c>
      <c r="E191" s="61">
        <f t="shared" si="33"/>
        <v>0</v>
      </c>
      <c r="F191" s="63">
        <v>1</v>
      </c>
      <c r="G191" s="70">
        <f t="shared" si="36"/>
        <v>0</v>
      </c>
      <c r="H191" s="64">
        <f t="shared" si="34"/>
        <v>0</v>
      </c>
    </row>
    <row r="192" spans="1:8" ht="14.25" thickBot="1" thickTop="1">
      <c r="A192" s="65" t="s">
        <v>11</v>
      </c>
      <c r="B192" s="74">
        <f>SUM(B180:B191)</f>
        <v>29.36772098930153</v>
      </c>
      <c r="C192" s="74"/>
      <c r="D192" s="74">
        <f>SUM(D180:D191)</f>
        <v>203.40083557190246</v>
      </c>
      <c r="E192" s="74">
        <f>SUM(E180:E191)</f>
        <v>103.96173230212742</v>
      </c>
      <c r="F192" s="74"/>
      <c r="G192" s="74">
        <f>SUM(G180:G191)</f>
        <v>103.96173230212742</v>
      </c>
      <c r="H192" s="75">
        <f>SUM(H180:H191)</f>
        <v>0.05198086615106372</v>
      </c>
    </row>
    <row r="193" spans="1:8" ht="12.75">
      <c r="A193" s="33"/>
      <c r="B193" s="55"/>
      <c r="C193" s="55"/>
      <c r="D193" s="55"/>
      <c r="E193" s="55"/>
      <c r="F193" s="55"/>
      <c r="G193" s="55"/>
      <c r="H193" s="55"/>
    </row>
    <row r="194" spans="1:8" ht="13.5" thickBot="1">
      <c r="A194" s="33"/>
      <c r="B194" s="55"/>
      <c r="C194" s="55"/>
      <c r="D194" s="55"/>
      <c r="E194" s="55"/>
      <c r="F194" s="55"/>
      <c r="G194" s="55"/>
      <c r="H194" s="55"/>
    </row>
    <row r="195" spans="1:8" ht="13.5" thickBot="1">
      <c r="A195" s="369" t="s">
        <v>197</v>
      </c>
      <c r="B195" s="370"/>
      <c r="C195" s="370"/>
      <c r="D195" s="370"/>
      <c r="E195" s="370"/>
      <c r="F195" s="370"/>
      <c r="G195" s="370"/>
      <c r="H195" s="371"/>
    </row>
    <row r="196" spans="1:8" ht="36.75" thickBot="1">
      <c r="A196" s="50" t="s">
        <v>6</v>
      </c>
      <c r="B196" s="51" t="s">
        <v>7</v>
      </c>
      <c r="C196" s="51" t="s">
        <v>8</v>
      </c>
      <c r="D196" s="51" t="s">
        <v>9</v>
      </c>
      <c r="E196" s="52" t="s">
        <v>10</v>
      </c>
      <c r="F196" s="52" t="s">
        <v>3</v>
      </c>
      <c r="G196" s="217" t="s">
        <v>4</v>
      </c>
      <c r="H196" s="52" t="s">
        <v>5</v>
      </c>
    </row>
    <row r="197" spans="1:8" ht="13.5" thickBot="1">
      <c r="A197" s="359" t="s">
        <v>56</v>
      </c>
      <c r="B197" s="360"/>
      <c r="C197" s="360"/>
      <c r="D197" s="360"/>
      <c r="E197" s="360"/>
      <c r="F197" s="360"/>
      <c r="G197" s="360"/>
      <c r="H197" s="361"/>
    </row>
    <row r="198" spans="1:8" ht="12.75">
      <c r="A198" s="93" t="str">
        <f>A180</f>
        <v>Jan</v>
      </c>
      <c r="B198" s="61">
        <f>'INPUT 1 - 2010 MATERIAL USAGE'!B9*'% PRODUCTION'!F6</f>
        <v>0</v>
      </c>
      <c r="C198" s="61">
        <v>3.54</v>
      </c>
      <c r="D198" s="61">
        <f aca="true" t="shared" si="37" ref="D198:D209">B198*6.926</f>
        <v>0</v>
      </c>
      <c r="E198" s="61">
        <f aca="true" t="shared" si="38" ref="E198:E209">B198*C198</f>
        <v>0</v>
      </c>
      <c r="F198" s="63">
        <v>1</v>
      </c>
      <c r="G198" s="70">
        <f>E198*F198</f>
        <v>0</v>
      </c>
      <c r="H198" s="64">
        <f aca="true" t="shared" si="39" ref="H198:H209">G198/2000</f>
        <v>0</v>
      </c>
    </row>
    <row r="199" spans="1:8" ht="12.75">
      <c r="A199" s="93" t="str">
        <f aca="true" t="shared" si="40" ref="A199:A209">A181</f>
        <v>Feb</v>
      </c>
      <c r="B199" s="61">
        <f>'INPUT 1 - 2010 MATERIAL USAGE'!C9*'% PRODUCTION'!F6</f>
        <v>0</v>
      </c>
      <c r="C199" s="61">
        <v>3.54</v>
      </c>
      <c r="D199" s="61">
        <f t="shared" si="37"/>
        <v>0</v>
      </c>
      <c r="E199" s="61">
        <f t="shared" si="38"/>
        <v>0</v>
      </c>
      <c r="F199" s="63">
        <v>1</v>
      </c>
      <c r="G199" s="70">
        <f aca="true" t="shared" si="41" ref="G199:G209">E199*F199</f>
        <v>0</v>
      </c>
      <c r="H199" s="64">
        <f t="shared" si="39"/>
        <v>0</v>
      </c>
    </row>
    <row r="200" spans="1:8" ht="12.75">
      <c r="A200" s="93" t="str">
        <f t="shared" si="40"/>
        <v>Mar</v>
      </c>
      <c r="B200" s="61">
        <f>'INPUT 1 - 2010 MATERIAL USAGE'!D9*'% PRODUCTION'!F6</f>
        <v>28.610191963505134</v>
      </c>
      <c r="C200" s="61">
        <v>3.54</v>
      </c>
      <c r="D200" s="61">
        <f t="shared" si="37"/>
        <v>198.15418953923657</v>
      </c>
      <c r="E200" s="61">
        <f t="shared" si="38"/>
        <v>101.28007955080817</v>
      </c>
      <c r="F200" s="63">
        <v>1</v>
      </c>
      <c r="G200" s="70">
        <f t="shared" si="41"/>
        <v>101.28007955080817</v>
      </c>
      <c r="H200" s="64">
        <f t="shared" si="39"/>
        <v>0.050640039775404086</v>
      </c>
    </row>
    <row r="201" spans="1:8" ht="12.75">
      <c r="A201" s="93" t="str">
        <f t="shared" si="40"/>
        <v>Apr</v>
      </c>
      <c r="B201" s="61">
        <f>'INPUT 1 - 2010 MATERIAL USAGE'!E9*'% PRODUCTION'!F6</f>
        <v>0</v>
      </c>
      <c r="C201" s="61">
        <v>3.54</v>
      </c>
      <c r="D201" s="61">
        <f t="shared" si="37"/>
        <v>0</v>
      </c>
      <c r="E201" s="61">
        <f t="shared" si="38"/>
        <v>0</v>
      </c>
      <c r="F201" s="63">
        <v>1</v>
      </c>
      <c r="G201" s="70">
        <f t="shared" si="41"/>
        <v>0</v>
      </c>
      <c r="H201" s="64">
        <f t="shared" si="39"/>
        <v>0</v>
      </c>
    </row>
    <row r="202" spans="1:8" ht="12.75">
      <c r="A202" s="93" t="str">
        <f t="shared" si="40"/>
        <v>May</v>
      </c>
      <c r="B202" s="61">
        <f>'INPUT 1 - 2010 MATERIAL USAGE'!F9*'% PRODUCTION'!F6</f>
        <v>15.605559252820983</v>
      </c>
      <c r="C202" s="61">
        <v>3.54</v>
      </c>
      <c r="D202" s="61">
        <f t="shared" si="37"/>
        <v>108.08410338503813</v>
      </c>
      <c r="E202" s="61">
        <f t="shared" si="38"/>
        <v>55.24367975498628</v>
      </c>
      <c r="F202" s="63">
        <v>1</v>
      </c>
      <c r="G202" s="70">
        <f t="shared" si="41"/>
        <v>55.24367975498628</v>
      </c>
      <c r="H202" s="64">
        <f t="shared" si="39"/>
        <v>0.02762183987749314</v>
      </c>
    </row>
    <row r="203" spans="1:8" ht="12.75">
      <c r="A203" s="93" t="str">
        <f t="shared" si="40"/>
        <v>Jun</v>
      </c>
      <c r="B203" s="61">
        <f>'INPUT 1 - 2010 MATERIAL USAGE'!G9*'% PRODUCTION'!$F$6</f>
        <v>13.004632710684152</v>
      </c>
      <c r="C203" s="61">
        <v>3.54</v>
      </c>
      <c r="D203" s="61">
        <f t="shared" si="37"/>
        <v>90.07008615419844</v>
      </c>
      <c r="E203" s="61">
        <f t="shared" si="38"/>
        <v>46.0363997958219</v>
      </c>
      <c r="F203" s="63">
        <v>1</v>
      </c>
      <c r="G203" s="70">
        <f t="shared" si="41"/>
        <v>46.0363997958219</v>
      </c>
      <c r="H203" s="64">
        <f t="shared" si="39"/>
        <v>0.02301819989791095</v>
      </c>
    </row>
    <row r="204" spans="1:8" ht="12.75">
      <c r="A204" s="93" t="str">
        <f t="shared" si="40"/>
        <v>Jul</v>
      </c>
      <c r="B204" s="61">
        <f>'INPUT 1 - 2010 MATERIAL USAGE'!H9*'% PRODUCTION'!$F$6</f>
        <v>13.004632710684152</v>
      </c>
      <c r="C204" s="61">
        <v>3.54</v>
      </c>
      <c r="D204" s="61">
        <f t="shared" si="37"/>
        <v>90.07008615419844</v>
      </c>
      <c r="E204" s="61">
        <f t="shared" si="38"/>
        <v>46.0363997958219</v>
      </c>
      <c r="F204" s="63">
        <v>1</v>
      </c>
      <c r="G204" s="70">
        <f t="shared" si="41"/>
        <v>46.0363997958219</v>
      </c>
      <c r="H204" s="64">
        <f t="shared" si="39"/>
        <v>0.02301819989791095</v>
      </c>
    </row>
    <row r="205" spans="1:8" ht="12.75">
      <c r="A205" s="93" t="str">
        <f t="shared" si="40"/>
        <v>Aug</v>
      </c>
      <c r="B205" s="61">
        <f>'INPUT 1 - 2010 MATERIAL USAGE'!I9*'% PRODUCTION'!$F$6</f>
        <v>0</v>
      </c>
      <c r="C205" s="61">
        <v>3.54</v>
      </c>
      <c r="D205" s="61">
        <f t="shared" si="37"/>
        <v>0</v>
      </c>
      <c r="E205" s="61">
        <f t="shared" si="38"/>
        <v>0</v>
      </c>
      <c r="F205" s="63">
        <v>1</v>
      </c>
      <c r="G205" s="70">
        <f t="shared" si="41"/>
        <v>0</v>
      </c>
      <c r="H205" s="64">
        <f t="shared" si="39"/>
        <v>0</v>
      </c>
    </row>
    <row r="206" spans="1:8" ht="12.75">
      <c r="A206" s="93" t="str">
        <f t="shared" si="40"/>
        <v>Sep</v>
      </c>
      <c r="B206" s="61">
        <f>'INPUT 1 - 2010 MATERIAL USAGE'!J9*'% PRODUCTION'!$F$6</f>
        <v>0</v>
      </c>
      <c r="C206" s="61">
        <v>3.54</v>
      </c>
      <c r="D206" s="61">
        <f t="shared" si="37"/>
        <v>0</v>
      </c>
      <c r="E206" s="61">
        <f t="shared" si="38"/>
        <v>0</v>
      </c>
      <c r="F206" s="63">
        <v>1</v>
      </c>
      <c r="G206" s="70">
        <f t="shared" si="41"/>
        <v>0</v>
      </c>
      <c r="H206" s="64">
        <f t="shared" si="39"/>
        <v>0</v>
      </c>
    </row>
    <row r="207" spans="1:8" ht="12.75">
      <c r="A207" s="93" t="str">
        <f t="shared" si="40"/>
        <v>Oct</v>
      </c>
      <c r="B207" s="61">
        <f>'INPUT 1 - 2010 MATERIAL USAGE'!K9*'% PRODUCTION'!$F$6</f>
        <v>0</v>
      </c>
      <c r="C207" s="61">
        <v>3.54</v>
      </c>
      <c r="D207" s="61">
        <f t="shared" si="37"/>
        <v>0</v>
      </c>
      <c r="E207" s="61">
        <f t="shared" si="38"/>
        <v>0</v>
      </c>
      <c r="F207" s="63">
        <v>1</v>
      </c>
      <c r="G207" s="70">
        <f t="shared" si="41"/>
        <v>0</v>
      </c>
      <c r="H207" s="64">
        <f t="shared" si="39"/>
        <v>0</v>
      </c>
    </row>
    <row r="208" spans="1:8" ht="12.75">
      <c r="A208" s="93" t="str">
        <f t="shared" si="40"/>
        <v>Nov</v>
      </c>
      <c r="B208" s="61">
        <f>'INPUT 1 - 2010 MATERIAL USAGE'!L9*'% PRODUCTION'!$F$6</f>
        <v>0</v>
      </c>
      <c r="C208" s="61">
        <v>3.54</v>
      </c>
      <c r="D208" s="61">
        <f t="shared" si="37"/>
        <v>0</v>
      </c>
      <c r="E208" s="61">
        <f t="shared" si="38"/>
        <v>0</v>
      </c>
      <c r="F208" s="63">
        <v>1</v>
      </c>
      <c r="G208" s="70">
        <f t="shared" si="41"/>
        <v>0</v>
      </c>
      <c r="H208" s="64">
        <f t="shared" si="39"/>
        <v>0</v>
      </c>
    </row>
    <row r="209" spans="1:8" ht="13.5" thickBot="1">
      <c r="A209" s="93" t="str">
        <f t="shared" si="40"/>
        <v>Dec</v>
      </c>
      <c r="B209" s="61">
        <f>'INPUT 1 - 2010 MATERIAL USAGE'!M9*'% PRODUCTION'!$F$6</f>
        <v>0</v>
      </c>
      <c r="C209" s="61">
        <v>3.54</v>
      </c>
      <c r="D209" s="61">
        <f t="shared" si="37"/>
        <v>0</v>
      </c>
      <c r="E209" s="61">
        <f t="shared" si="38"/>
        <v>0</v>
      </c>
      <c r="F209" s="63">
        <v>1</v>
      </c>
      <c r="G209" s="70">
        <f t="shared" si="41"/>
        <v>0</v>
      </c>
      <c r="H209" s="64">
        <f t="shared" si="39"/>
        <v>0</v>
      </c>
    </row>
    <row r="210" spans="1:8" ht="14.25" thickBot="1" thickTop="1">
      <c r="A210" s="65" t="s">
        <v>11</v>
      </c>
      <c r="B210" s="74">
        <f>SUM(B198:B209)</f>
        <v>70.22501663769442</v>
      </c>
      <c r="C210" s="74"/>
      <c r="D210" s="74">
        <f>SUM(D198:D209)</f>
        <v>486.3784652326715</v>
      </c>
      <c r="E210" s="74">
        <f>SUM(E198:E209)</f>
        <v>248.59655889743823</v>
      </c>
      <c r="F210" s="74"/>
      <c r="G210" s="74">
        <f>SUM(G198:G209)</f>
        <v>248.59655889743823</v>
      </c>
      <c r="H210" s="75">
        <f>SUM(H198:H209)</f>
        <v>0.12429827944871913</v>
      </c>
    </row>
    <row r="211" spans="1:8" ht="13.5" thickBot="1">
      <c r="A211" s="33"/>
      <c r="B211" s="55"/>
      <c r="C211" s="55"/>
      <c r="D211" s="55"/>
      <c r="E211" s="55"/>
      <c r="F211" s="55"/>
      <c r="G211" s="55"/>
      <c r="H211" s="55"/>
    </row>
    <row r="212" spans="1:8" ht="13.5" thickBot="1">
      <c r="A212" s="369" t="s">
        <v>198</v>
      </c>
      <c r="B212" s="370"/>
      <c r="C212" s="370"/>
      <c r="D212" s="370"/>
      <c r="E212" s="370"/>
      <c r="F212" s="370"/>
      <c r="G212" s="370"/>
      <c r="H212" s="371"/>
    </row>
    <row r="213" spans="1:8" ht="36.75" thickBot="1">
      <c r="A213" s="18" t="s">
        <v>6</v>
      </c>
      <c r="B213" s="19" t="s">
        <v>7</v>
      </c>
      <c r="C213" s="19" t="s">
        <v>8</v>
      </c>
      <c r="D213" s="19" t="s">
        <v>9</v>
      </c>
      <c r="E213" s="20" t="s">
        <v>10</v>
      </c>
      <c r="F213" s="20" t="s">
        <v>3</v>
      </c>
      <c r="G213" s="216" t="s">
        <v>4</v>
      </c>
      <c r="H213" s="20" t="s">
        <v>5</v>
      </c>
    </row>
    <row r="214" spans="1:8" ht="13.5" thickBot="1">
      <c r="A214" s="359" t="s">
        <v>56</v>
      </c>
      <c r="B214" s="360"/>
      <c r="C214" s="360"/>
      <c r="D214" s="360"/>
      <c r="E214" s="360"/>
      <c r="F214" s="360"/>
      <c r="G214" s="360"/>
      <c r="H214" s="361"/>
    </row>
    <row r="215" spans="1:8" ht="12.75">
      <c r="A215" s="93" t="str">
        <f>A198</f>
        <v>Jan</v>
      </c>
      <c r="B215" s="61">
        <f>'INPUT 1 - 2010 MATERIAL USAGE'!B9*'% PRODUCTION'!F7</f>
        <v>0</v>
      </c>
      <c r="C215" s="61">
        <v>3.54</v>
      </c>
      <c r="D215" s="61">
        <f aca="true" t="shared" si="42" ref="D215:D226">B215*6.926</f>
        <v>0</v>
      </c>
      <c r="E215" s="61">
        <f>B215*C215</f>
        <v>0</v>
      </c>
      <c r="F215" s="63">
        <f>F198</f>
        <v>1</v>
      </c>
      <c r="G215" s="70">
        <f>E215*F215</f>
        <v>0</v>
      </c>
      <c r="H215" s="64">
        <f aca="true" t="shared" si="43" ref="H215:H226">G215/2000</f>
        <v>0</v>
      </c>
    </row>
    <row r="216" spans="1:8" ht="12.75">
      <c r="A216" s="93" t="str">
        <f aca="true" t="shared" si="44" ref="A216:A226">A199</f>
        <v>Feb</v>
      </c>
      <c r="B216" s="61">
        <f>'INPUT 1 - 2010 MATERIAL USAGE'!C9*'% PRODUCTION'!F7</f>
        <v>0</v>
      </c>
      <c r="C216" s="61">
        <v>3.54</v>
      </c>
      <c r="D216" s="61">
        <f t="shared" si="42"/>
        <v>0</v>
      </c>
      <c r="E216" s="61">
        <f aca="true" t="shared" si="45" ref="E216:E226">B216*C216</f>
        <v>0</v>
      </c>
      <c r="F216" s="63">
        <f aca="true" t="shared" si="46" ref="F216:F226">F199</f>
        <v>1</v>
      </c>
      <c r="G216" s="70">
        <f aca="true" t="shared" si="47" ref="G216:G226">E216*F216</f>
        <v>0</v>
      </c>
      <c r="H216" s="64">
        <f t="shared" si="43"/>
        <v>0</v>
      </c>
    </row>
    <row r="217" spans="1:8" ht="12.75">
      <c r="A217" s="93" t="str">
        <f t="shared" si="44"/>
        <v>Mar</v>
      </c>
      <c r="B217" s="61">
        <f>'INPUT 1 - 2010 MATERIAL USAGE'!D9*'% PRODUCTION'!F7</f>
        <v>14.425180966779422</v>
      </c>
      <c r="C217" s="61">
        <v>3.54</v>
      </c>
      <c r="D217" s="61">
        <f t="shared" si="42"/>
        <v>99.90880337591427</v>
      </c>
      <c r="E217" s="61">
        <f t="shared" si="45"/>
        <v>51.065140622399156</v>
      </c>
      <c r="F217" s="63">
        <f t="shared" si="46"/>
        <v>1</v>
      </c>
      <c r="G217" s="70">
        <f t="shared" si="47"/>
        <v>51.065140622399156</v>
      </c>
      <c r="H217" s="64">
        <f t="shared" si="43"/>
        <v>0.025532570311199577</v>
      </c>
    </row>
    <row r="218" spans="1:8" ht="12.75">
      <c r="A218" s="93" t="str">
        <f t="shared" si="44"/>
        <v>Apr</v>
      </c>
      <c r="B218" s="61">
        <f>'INPUT 1 - 2010 MATERIAL USAGE'!E9*'% PRODUCTION'!F7</f>
        <v>0</v>
      </c>
      <c r="C218" s="61">
        <v>3.54</v>
      </c>
      <c r="D218" s="61">
        <f t="shared" si="42"/>
        <v>0</v>
      </c>
      <c r="E218" s="61">
        <f t="shared" si="45"/>
        <v>0</v>
      </c>
      <c r="F218" s="63">
        <f t="shared" si="46"/>
        <v>1</v>
      </c>
      <c r="G218" s="70">
        <f t="shared" si="47"/>
        <v>0</v>
      </c>
      <c r="H218" s="64">
        <f t="shared" si="43"/>
        <v>0</v>
      </c>
    </row>
    <row r="219" spans="1:8" ht="12.75">
      <c r="A219" s="93" t="str">
        <f t="shared" si="44"/>
        <v>May</v>
      </c>
      <c r="B219" s="61">
        <f>'INPUT 1 - 2010 MATERIAL USAGE'!F9*'% PRODUCTION'!F7</f>
        <v>7.86828052733423</v>
      </c>
      <c r="C219" s="61">
        <v>3.54</v>
      </c>
      <c r="D219" s="61">
        <f t="shared" si="42"/>
        <v>54.495710932316875</v>
      </c>
      <c r="E219" s="61">
        <f t="shared" si="45"/>
        <v>27.853713066763174</v>
      </c>
      <c r="F219" s="63">
        <f t="shared" si="46"/>
        <v>1</v>
      </c>
      <c r="G219" s="70">
        <f t="shared" si="47"/>
        <v>27.853713066763174</v>
      </c>
      <c r="H219" s="64">
        <f t="shared" si="43"/>
        <v>0.013926856533381587</v>
      </c>
    </row>
    <row r="220" spans="1:8" ht="12.75">
      <c r="A220" s="93" t="str">
        <f t="shared" si="44"/>
        <v>Jun</v>
      </c>
      <c r="B220" s="61">
        <f>'INPUT 1 - 2010 MATERIAL USAGE'!G9*'% PRODUCTION'!$F$7</f>
        <v>6.556900439445192</v>
      </c>
      <c r="C220" s="61">
        <v>3.54</v>
      </c>
      <c r="D220" s="61">
        <f t="shared" si="42"/>
        <v>45.4130924435974</v>
      </c>
      <c r="E220" s="61">
        <f t="shared" si="45"/>
        <v>23.21142755563598</v>
      </c>
      <c r="F220" s="63">
        <f t="shared" si="46"/>
        <v>1</v>
      </c>
      <c r="G220" s="70">
        <f t="shared" si="47"/>
        <v>23.21142755563598</v>
      </c>
      <c r="H220" s="64">
        <f t="shared" si="43"/>
        <v>0.011605713777817989</v>
      </c>
    </row>
    <row r="221" spans="1:8" ht="12.75">
      <c r="A221" s="93" t="str">
        <f t="shared" si="44"/>
        <v>Jul</v>
      </c>
      <c r="B221" s="61">
        <f>'INPUT 1 - 2010 MATERIAL USAGE'!H9*'% PRODUCTION'!$F$7</f>
        <v>6.556900439445192</v>
      </c>
      <c r="C221" s="61">
        <v>3.54</v>
      </c>
      <c r="D221" s="61">
        <f t="shared" si="42"/>
        <v>45.4130924435974</v>
      </c>
      <c r="E221" s="61">
        <f t="shared" si="45"/>
        <v>23.21142755563598</v>
      </c>
      <c r="F221" s="63">
        <f t="shared" si="46"/>
        <v>1</v>
      </c>
      <c r="G221" s="70">
        <f t="shared" si="47"/>
        <v>23.21142755563598</v>
      </c>
      <c r="H221" s="64">
        <f t="shared" si="43"/>
        <v>0.011605713777817989</v>
      </c>
    </row>
    <row r="222" spans="1:8" ht="12.75">
      <c r="A222" s="93" t="str">
        <f t="shared" si="44"/>
        <v>Aug</v>
      </c>
      <c r="B222" s="61">
        <f>'INPUT 1 - 2010 MATERIAL USAGE'!I9*'% PRODUCTION'!$F$7</f>
        <v>0</v>
      </c>
      <c r="C222" s="61">
        <v>3.54</v>
      </c>
      <c r="D222" s="61">
        <f t="shared" si="42"/>
        <v>0</v>
      </c>
      <c r="E222" s="61">
        <f t="shared" si="45"/>
        <v>0</v>
      </c>
      <c r="F222" s="63">
        <f t="shared" si="46"/>
        <v>1</v>
      </c>
      <c r="G222" s="70">
        <f t="shared" si="47"/>
        <v>0</v>
      </c>
      <c r="H222" s="64">
        <f t="shared" si="43"/>
        <v>0</v>
      </c>
    </row>
    <row r="223" spans="1:8" ht="12.75">
      <c r="A223" s="93" t="str">
        <f t="shared" si="44"/>
        <v>Sep</v>
      </c>
      <c r="B223" s="61">
        <f>'INPUT 1 - 2010 MATERIAL USAGE'!J9*'% PRODUCTION'!$F$7</f>
        <v>0</v>
      </c>
      <c r="C223" s="61">
        <v>3.54</v>
      </c>
      <c r="D223" s="61">
        <f t="shared" si="42"/>
        <v>0</v>
      </c>
      <c r="E223" s="61">
        <f t="shared" si="45"/>
        <v>0</v>
      </c>
      <c r="F223" s="63">
        <f t="shared" si="46"/>
        <v>1</v>
      </c>
      <c r="G223" s="70">
        <f t="shared" si="47"/>
        <v>0</v>
      </c>
      <c r="H223" s="64">
        <f t="shared" si="43"/>
        <v>0</v>
      </c>
    </row>
    <row r="224" spans="1:8" ht="12.75">
      <c r="A224" s="93" t="str">
        <f t="shared" si="44"/>
        <v>Oct</v>
      </c>
      <c r="B224" s="61">
        <f>'INPUT 1 - 2010 MATERIAL USAGE'!K9*'% PRODUCTION'!$F$7</f>
        <v>0</v>
      </c>
      <c r="C224" s="61">
        <v>3.54</v>
      </c>
      <c r="D224" s="61">
        <f t="shared" si="42"/>
        <v>0</v>
      </c>
      <c r="E224" s="61">
        <f t="shared" si="45"/>
        <v>0</v>
      </c>
      <c r="F224" s="63">
        <f t="shared" si="46"/>
        <v>1</v>
      </c>
      <c r="G224" s="70">
        <f t="shared" si="47"/>
        <v>0</v>
      </c>
      <c r="H224" s="64">
        <f t="shared" si="43"/>
        <v>0</v>
      </c>
    </row>
    <row r="225" spans="1:8" ht="12.75">
      <c r="A225" s="93" t="str">
        <f t="shared" si="44"/>
        <v>Nov</v>
      </c>
      <c r="B225" s="61">
        <f>'INPUT 1 - 2010 MATERIAL USAGE'!L9*'% PRODUCTION'!$F$7</f>
        <v>0</v>
      </c>
      <c r="C225" s="61">
        <v>3.54</v>
      </c>
      <c r="D225" s="61">
        <f t="shared" si="42"/>
        <v>0</v>
      </c>
      <c r="E225" s="61">
        <f t="shared" si="45"/>
        <v>0</v>
      </c>
      <c r="F225" s="63">
        <f t="shared" si="46"/>
        <v>1</v>
      </c>
      <c r="G225" s="70">
        <f t="shared" si="47"/>
        <v>0</v>
      </c>
      <c r="H225" s="64">
        <f t="shared" si="43"/>
        <v>0</v>
      </c>
    </row>
    <row r="226" spans="1:8" ht="13.5" thickBot="1">
      <c r="A226" s="93" t="str">
        <f t="shared" si="44"/>
        <v>Dec</v>
      </c>
      <c r="B226" s="61">
        <f>'INPUT 1 - 2010 MATERIAL USAGE'!M9*'% PRODUCTION'!$F$7</f>
        <v>0</v>
      </c>
      <c r="C226" s="61">
        <v>3.54</v>
      </c>
      <c r="D226" s="61">
        <f t="shared" si="42"/>
        <v>0</v>
      </c>
      <c r="E226" s="61">
        <f t="shared" si="45"/>
        <v>0</v>
      </c>
      <c r="F226" s="63">
        <f t="shared" si="46"/>
        <v>1</v>
      </c>
      <c r="G226" s="70">
        <f t="shared" si="47"/>
        <v>0</v>
      </c>
      <c r="H226" s="64">
        <f t="shared" si="43"/>
        <v>0</v>
      </c>
    </row>
    <row r="227" spans="1:8" ht="14.25" thickBot="1" thickTop="1">
      <c r="A227" s="65" t="s">
        <v>11</v>
      </c>
      <c r="B227" s="74">
        <f>SUM(B215:B226)</f>
        <v>35.40726237300404</v>
      </c>
      <c r="C227" s="74"/>
      <c r="D227" s="74">
        <f>SUM(D215:D226)</f>
        <v>245.23069919542596</v>
      </c>
      <c r="E227" s="74">
        <f>SUM(E215:E226)</f>
        <v>125.34170880043429</v>
      </c>
      <c r="F227" s="74"/>
      <c r="G227" s="74">
        <f>SUM(G215:G226)</f>
        <v>125.34170880043429</v>
      </c>
      <c r="H227" s="75">
        <f>SUM(H215:H226)</f>
        <v>0.06267085440021714</v>
      </c>
    </row>
    <row r="228" spans="1:8" ht="13.5" thickBot="1">
      <c r="A228" s="33"/>
      <c r="B228" s="55"/>
      <c r="C228" s="55"/>
      <c r="D228" s="55"/>
      <c r="E228" s="55"/>
      <c r="F228" s="55"/>
      <c r="G228" s="55"/>
      <c r="H228" s="55"/>
    </row>
    <row r="229" spans="1:8" ht="13.5" thickBot="1">
      <c r="A229" s="354" t="s">
        <v>224</v>
      </c>
      <c r="B229" s="355"/>
      <c r="C229" s="355"/>
      <c r="D229" s="355"/>
      <c r="E229" s="355"/>
      <c r="F229" s="355"/>
      <c r="G229" s="355"/>
      <c r="H229" s="356"/>
    </row>
    <row r="230" spans="1:8" ht="36.75" thickBot="1">
      <c r="A230" s="50" t="s">
        <v>6</v>
      </c>
      <c r="B230" s="51" t="s">
        <v>7</v>
      </c>
      <c r="C230" s="51" t="s">
        <v>8</v>
      </c>
      <c r="D230" s="51" t="s">
        <v>9</v>
      </c>
      <c r="E230" s="52" t="s">
        <v>10</v>
      </c>
      <c r="F230" s="52" t="s">
        <v>3</v>
      </c>
      <c r="G230" s="217" t="s">
        <v>4</v>
      </c>
      <c r="H230" s="52" t="s">
        <v>5</v>
      </c>
    </row>
    <row r="231" spans="1:8" ht="13.5" thickBot="1">
      <c r="A231" s="359" t="s">
        <v>223</v>
      </c>
      <c r="B231" s="360"/>
      <c r="C231" s="360"/>
      <c r="D231" s="360"/>
      <c r="E231" s="360"/>
      <c r="F231" s="360"/>
      <c r="G231" s="360"/>
      <c r="H231" s="361"/>
    </row>
    <row r="232" spans="1:8" ht="12.75">
      <c r="A232" s="93" t="s">
        <v>143</v>
      </c>
      <c r="B232" s="61">
        <f>'INPUT 1 - 2010 MATERIAL USAGE'!B11</f>
        <v>55</v>
      </c>
      <c r="C232" s="61">
        <v>1.63</v>
      </c>
      <c r="D232" s="61">
        <f>C232*6.82</f>
        <v>11.1166</v>
      </c>
      <c r="E232" s="61">
        <f>B232*C232</f>
        <v>89.64999999999999</v>
      </c>
      <c r="F232" s="63">
        <v>1</v>
      </c>
      <c r="G232" s="70">
        <f>E232*F232</f>
        <v>89.64999999999999</v>
      </c>
      <c r="H232" s="64">
        <f>G232/2000</f>
        <v>0.044825</v>
      </c>
    </row>
    <row r="233" spans="1:8" ht="12.75">
      <c r="A233" s="93" t="s">
        <v>156</v>
      </c>
      <c r="B233" s="61">
        <f>'INPUT 1 - 2010 MATERIAL USAGE'!C11</f>
        <v>0</v>
      </c>
      <c r="C233" s="61">
        <v>1.63</v>
      </c>
      <c r="D233" s="61">
        <f aca="true" t="shared" si="48" ref="D233:D243">C233*6.82</f>
        <v>11.1166</v>
      </c>
      <c r="E233" s="61">
        <f aca="true" t="shared" si="49" ref="E233:E243">B233*C233</f>
        <v>0</v>
      </c>
      <c r="F233" s="63">
        <v>1</v>
      </c>
      <c r="G233" s="70">
        <f aca="true" t="shared" si="50" ref="G233:G243">E233*F233</f>
        <v>0</v>
      </c>
      <c r="H233" s="64">
        <f aca="true" t="shared" si="51" ref="H233:H243">G233/2000</f>
        <v>0</v>
      </c>
    </row>
    <row r="234" spans="1:8" ht="12.75">
      <c r="A234" s="93" t="s">
        <v>157</v>
      </c>
      <c r="B234" s="61">
        <f>'INPUT 1 - 2010 MATERIAL USAGE'!D11</f>
        <v>55</v>
      </c>
      <c r="C234" s="61">
        <v>1.63</v>
      </c>
      <c r="D234" s="61">
        <f t="shared" si="48"/>
        <v>11.1166</v>
      </c>
      <c r="E234" s="61">
        <f t="shared" si="49"/>
        <v>89.64999999999999</v>
      </c>
      <c r="F234" s="63">
        <v>1</v>
      </c>
      <c r="G234" s="70">
        <f t="shared" si="50"/>
        <v>89.64999999999999</v>
      </c>
      <c r="H234" s="64">
        <f t="shared" si="51"/>
        <v>0.044825</v>
      </c>
    </row>
    <row r="235" spans="1:8" ht="12.75">
      <c r="A235" s="93" t="s">
        <v>147</v>
      </c>
      <c r="B235" s="61">
        <f>'INPUT 1 - 2010 MATERIAL USAGE'!E11</f>
        <v>0</v>
      </c>
      <c r="C235" s="61">
        <v>1.63</v>
      </c>
      <c r="D235" s="61">
        <f t="shared" si="48"/>
        <v>11.1166</v>
      </c>
      <c r="E235" s="61">
        <f t="shared" si="49"/>
        <v>0</v>
      </c>
      <c r="F235" s="63">
        <v>1</v>
      </c>
      <c r="G235" s="70">
        <f t="shared" si="50"/>
        <v>0</v>
      </c>
      <c r="H235" s="64">
        <f t="shared" si="51"/>
        <v>0</v>
      </c>
    </row>
    <row r="236" spans="1:8" ht="12.75">
      <c r="A236" s="93" t="s">
        <v>148</v>
      </c>
      <c r="B236" s="61">
        <f>'INPUT 1 - 2010 MATERIAL USAGE'!F11</f>
        <v>0</v>
      </c>
      <c r="C236" s="61">
        <v>1.63</v>
      </c>
      <c r="D236" s="61">
        <f t="shared" si="48"/>
        <v>11.1166</v>
      </c>
      <c r="E236" s="61">
        <f t="shared" si="49"/>
        <v>0</v>
      </c>
      <c r="F236" s="63">
        <v>1</v>
      </c>
      <c r="G236" s="70">
        <f>E236*F236</f>
        <v>0</v>
      </c>
      <c r="H236" s="64">
        <f t="shared" si="51"/>
        <v>0</v>
      </c>
    </row>
    <row r="237" spans="1:8" ht="12.75">
      <c r="A237" s="93" t="s">
        <v>158</v>
      </c>
      <c r="B237" s="61">
        <f>'INPUT 1 - 2010 MATERIAL USAGE'!G11</f>
        <v>0</v>
      </c>
      <c r="C237" s="61">
        <v>1.63</v>
      </c>
      <c r="D237" s="61">
        <f t="shared" si="48"/>
        <v>11.1166</v>
      </c>
      <c r="E237" s="61">
        <f t="shared" si="49"/>
        <v>0</v>
      </c>
      <c r="F237" s="63">
        <v>1</v>
      </c>
      <c r="G237" s="70">
        <f t="shared" si="50"/>
        <v>0</v>
      </c>
      <c r="H237" s="64">
        <f t="shared" si="51"/>
        <v>0</v>
      </c>
    </row>
    <row r="238" spans="1:8" ht="12.75">
      <c r="A238" s="93" t="s">
        <v>159</v>
      </c>
      <c r="B238" s="61">
        <f>'INPUT 1 - 2010 MATERIAL USAGE'!H11</f>
        <v>0</v>
      </c>
      <c r="C238" s="61">
        <v>1.63</v>
      </c>
      <c r="D238" s="61">
        <f t="shared" si="48"/>
        <v>11.1166</v>
      </c>
      <c r="E238" s="61">
        <f t="shared" si="49"/>
        <v>0</v>
      </c>
      <c r="F238" s="63">
        <v>1</v>
      </c>
      <c r="G238" s="70">
        <f t="shared" si="50"/>
        <v>0</v>
      </c>
      <c r="H238" s="64">
        <f t="shared" si="51"/>
        <v>0</v>
      </c>
    </row>
    <row r="239" spans="1:8" ht="12.75">
      <c r="A239" s="93" t="s">
        <v>160</v>
      </c>
      <c r="B239" s="61">
        <f>'INPUT 1 - 2010 MATERIAL USAGE'!I11</f>
        <v>0</v>
      </c>
      <c r="C239" s="61">
        <v>1.63</v>
      </c>
      <c r="D239" s="61">
        <f t="shared" si="48"/>
        <v>11.1166</v>
      </c>
      <c r="E239" s="61">
        <f t="shared" si="49"/>
        <v>0</v>
      </c>
      <c r="F239" s="63">
        <v>1</v>
      </c>
      <c r="G239" s="70">
        <f t="shared" si="50"/>
        <v>0</v>
      </c>
      <c r="H239" s="64">
        <f t="shared" si="51"/>
        <v>0</v>
      </c>
    </row>
    <row r="240" spans="1:8" ht="12.75">
      <c r="A240" s="93" t="s">
        <v>152</v>
      </c>
      <c r="B240" s="61">
        <f>'INPUT 1 - 2010 MATERIAL USAGE'!J11</f>
        <v>0</v>
      </c>
      <c r="C240" s="61">
        <v>1.63</v>
      </c>
      <c r="D240" s="61">
        <f t="shared" si="48"/>
        <v>11.1166</v>
      </c>
      <c r="E240" s="61">
        <f t="shared" si="49"/>
        <v>0</v>
      </c>
      <c r="F240" s="63">
        <v>1</v>
      </c>
      <c r="G240" s="70">
        <f t="shared" si="50"/>
        <v>0</v>
      </c>
      <c r="H240" s="64">
        <f t="shared" si="51"/>
        <v>0</v>
      </c>
    </row>
    <row r="241" spans="1:8" ht="12.75">
      <c r="A241" s="93" t="s">
        <v>153</v>
      </c>
      <c r="B241" s="61">
        <f>'INPUT 1 - 2010 MATERIAL USAGE'!K11</f>
        <v>0</v>
      </c>
      <c r="C241" s="61">
        <v>1.63</v>
      </c>
      <c r="D241" s="61">
        <f t="shared" si="48"/>
        <v>11.1166</v>
      </c>
      <c r="E241" s="61">
        <f t="shared" si="49"/>
        <v>0</v>
      </c>
      <c r="F241" s="63">
        <v>1</v>
      </c>
      <c r="G241" s="70">
        <f t="shared" si="50"/>
        <v>0</v>
      </c>
      <c r="H241" s="64">
        <f t="shared" si="51"/>
        <v>0</v>
      </c>
    </row>
    <row r="242" spans="1:8" ht="12.75">
      <c r="A242" s="93" t="s">
        <v>161</v>
      </c>
      <c r="B242" s="61">
        <f>'INPUT 1 - 2010 MATERIAL USAGE'!L11</f>
        <v>0</v>
      </c>
      <c r="C242" s="61">
        <v>1.63</v>
      </c>
      <c r="D242" s="61">
        <f t="shared" si="48"/>
        <v>11.1166</v>
      </c>
      <c r="E242" s="61">
        <f t="shared" si="49"/>
        <v>0</v>
      </c>
      <c r="F242" s="63">
        <v>1</v>
      </c>
      <c r="G242" s="70">
        <f t="shared" si="50"/>
        <v>0</v>
      </c>
      <c r="H242" s="64">
        <f t="shared" si="51"/>
        <v>0</v>
      </c>
    </row>
    <row r="243" spans="1:8" ht="13.5" thickBot="1">
      <c r="A243" s="93" t="s">
        <v>155</v>
      </c>
      <c r="B243" s="61">
        <f>'INPUT 1 - 2010 MATERIAL USAGE'!M11</f>
        <v>0</v>
      </c>
      <c r="C243" s="61">
        <v>1.63</v>
      </c>
      <c r="D243" s="61">
        <f t="shared" si="48"/>
        <v>11.1166</v>
      </c>
      <c r="E243" s="61">
        <f t="shared" si="49"/>
        <v>0</v>
      </c>
      <c r="F243" s="63">
        <v>1</v>
      </c>
      <c r="G243" s="70">
        <f t="shared" si="50"/>
        <v>0</v>
      </c>
      <c r="H243" s="64">
        <f t="shared" si="51"/>
        <v>0</v>
      </c>
    </row>
    <row r="244" spans="1:8" ht="14.25" thickBot="1" thickTop="1">
      <c r="A244" s="65" t="s">
        <v>11</v>
      </c>
      <c r="B244" s="74">
        <f>SUM(B232:B243)</f>
        <v>110</v>
      </c>
      <c r="C244" s="74"/>
      <c r="D244" s="74">
        <f>SUM(D232:D243)</f>
        <v>133.39920000000004</v>
      </c>
      <c r="E244" s="74">
        <f>SUM(E232:E243)</f>
        <v>179.29999999999998</v>
      </c>
      <c r="F244" s="74"/>
      <c r="G244" s="74">
        <f>SUM(G232:G243)</f>
        <v>179.29999999999998</v>
      </c>
      <c r="H244" s="75">
        <f>SUM(H232:H243)</f>
        <v>0.08965</v>
      </c>
    </row>
    <row r="245" spans="1:8" ht="13.5" thickBot="1">
      <c r="A245" s="33"/>
      <c r="B245" s="55"/>
      <c r="C245" s="55"/>
      <c r="D245" s="55"/>
      <c r="E245" s="55"/>
      <c r="F245" s="55"/>
      <c r="G245" s="55"/>
      <c r="H245" s="55"/>
    </row>
    <row r="246" spans="1:8" ht="13.5" thickBot="1">
      <c r="A246" s="354" t="s">
        <v>225</v>
      </c>
      <c r="B246" s="355"/>
      <c r="C246" s="355"/>
      <c r="D246" s="355"/>
      <c r="E246" s="355"/>
      <c r="F246" s="355"/>
      <c r="G246" s="356"/>
      <c r="H246"/>
    </row>
    <row r="247" spans="1:14" ht="24.75" thickBot="1">
      <c r="A247" s="50" t="s">
        <v>6</v>
      </c>
      <c r="B247" s="51" t="s">
        <v>229</v>
      </c>
      <c r="C247" s="51" t="s">
        <v>228</v>
      </c>
      <c r="D247" s="52" t="s">
        <v>10</v>
      </c>
      <c r="E247" s="52" t="s">
        <v>3</v>
      </c>
      <c r="F247" s="217" t="s">
        <v>4</v>
      </c>
      <c r="G247" s="52" t="s">
        <v>5</v>
      </c>
      <c r="H247" s="7"/>
      <c r="I247" s="8"/>
      <c r="J247"/>
      <c r="M247" s="2"/>
      <c r="N247"/>
    </row>
    <row r="248" spans="1:8" ht="13.5" thickBot="1">
      <c r="A248" s="354" t="s">
        <v>227</v>
      </c>
      <c r="B248" s="355"/>
      <c r="C248" s="355"/>
      <c r="D248" s="355"/>
      <c r="E248" s="355"/>
      <c r="F248" s="355"/>
      <c r="G248" s="356"/>
      <c r="H248"/>
    </row>
    <row r="249" spans="1:14" ht="12.75">
      <c r="A249" s="93" t="s">
        <v>143</v>
      </c>
      <c r="B249" s="233">
        <f>'INPUT 1 - 2010 MATERIAL USAGE'!B15*'% PRODUCTION'!M5</f>
        <v>235.90251007491946</v>
      </c>
      <c r="C249" s="232">
        <v>0.2275</v>
      </c>
      <c r="D249" s="61">
        <f>B249*C249</f>
        <v>53.66782104204418</v>
      </c>
      <c r="E249" s="63">
        <v>0.64</v>
      </c>
      <c r="F249" s="70">
        <f>D249*E249</f>
        <v>34.34740546690828</v>
      </c>
      <c r="G249" s="64">
        <f>F249/2000</f>
        <v>0.01717370273345414</v>
      </c>
      <c r="H249" s="7"/>
      <c r="I249" s="8"/>
      <c r="J249"/>
      <c r="M249" s="2"/>
      <c r="N249"/>
    </row>
    <row r="250" spans="1:14" ht="12.75">
      <c r="A250" s="93" t="s">
        <v>156</v>
      </c>
      <c r="B250" s="233">
        <f>'INPUT 1 - 2010 MATERIAL USAGE'!C15*'% PRODUCTION'!M5</f>
        <v>206.41469631555452</v>
      </c>
      <c r="C250" s="232">
        <v>0.2275</v>
      </c>
      <c r="D250" s="61">
        <f aca="true" t="shared" si="52" ref="D250:D260">B250*C250</f>
        <v>46.95934341178866</v>
      </c>
      <c r="E250" s="63">
        <v>0.64</v>
      </c>
      <c r="F250" s="70">
        <f aca="true" t="shared" si="53" ref="F250:F260">D250*E250</f>
        <v>30.053979783544744</v>
      </c>
      <c r="G250" s="64">
        <f aca="true" t="shared" si="54" ref="G250:G260">F250/2000</f>
        <v>0.015026989891772372</v>
      </c>
      <c r="H250" s="7"/>
      <c r="I250" s="8"/>
      <c r="J250"/>
      <c r="M250" s="2"/>
      <c r="N250"/>
    </row>
    <row r="251" spans="1:14" ht="12.75">
      <c r="A251" s="93" t="s">
        <v>157</v>
      </c>
      <c r="B251" s="233">
        <f>'INPUT 1 - 2010 MATERIAL USAGE'!D15*'% PRODUCTION'!M5</f>
        <v>324.3659513530143</v>
      </c>
      <c r="C251" s="232">
        <v>0.2275</v>
      </c>
      <c r="D251" s="61">
        <f t="shared" si="52"/>
        <v>73.79325393281076</v>
      </c>
      <c r="E251" s="63">
        <v>0.64</v>
      </c>
      <c r="F251" s="70">
        <f t="shared" si="53"/>
        <v>47.22768251699888</v>
      </c>
      <c r="G251" s="64">
        <f t="shared" si="54"/>
        <v>0.02361384125849944</v>
      </c>
      <c r="H251" s="7"/>
      <c r="I251" s="8"/>
      <c r="J251"/>
      <c r="M251" s="2"/>
      <c r="N251"/>
    </row>
    <row r="252" spans="1:14" ht="12.75">
      <c r="A252" s="93" t="s">
        <v>147</v>
      </c>
      <c r="B252" s="233">
        <f>'INPUT 1 - 2010 MATERIAL USAGE'!E15*'% PRODUCTION'!M5</f>
        <v>324.3659513530143</v>
      </c>
      <c r="C252" s="232">
        <v>0.2275</v>
      </c>
      <c r="D252" s="61">
        <f t="shared" si="52"/>
        <v>73.79325393281076</v>
      </c>
      <c r="E252" s="63">
        <v>0.64</v>
      </c>
      <c r="F252" s="70">
        <f t="shared" si="53"/>
        <v>47.22768251699888</v>
      </c>
      <c r="G252" s="64">
        <f t="shared" si="54"/>
        <v>0.02361384125849944</v>
      </c>
      <c r="H252" s="7"/>
      <c r="I252" s="8"/>
      <c r="J252"/>
      <c r="M252" s="2"/>
      <c r="N252"/>
    </row>
    <row r="253" spans="1:14" ht="12.75">
      <c r="A253" s="93" t="s">
        <v>148</v>
      </c>
      <c r="B253" s="233">
        <f>'INPUT 1 - 2010 MATERIAL USAGE'!F15*'% PRODUCTION'!M5</f>
        <v>353.8537651123792</v>
      </c>
      <c r="C253" s="232">
        <v>0.2275</v>
      </c>
      <c r="D253" s="61">
        <f t="shared" si="52"/>
        <v>80.50173156306627</v>
      </c>
      <c r="E253" s="63">
        <v>0.64</v>
      </c>
      <c r="F253" s="70">
        <f t="shared" si="53"/>
        <v>51.52110820036241</v>
      </c>
      <c r="G253" s="64">
        <f t="shared" si="54"/>
        <v>0.025760554100181205</v>
      </c>
      <c r="H253" s="7"/>
      <c r="I253" s="8"/>
      <c r="J253"/>
      <c r="M253" s="2"/>
      <c r="N253"/>
    </row>
    <row r="254" spans="1:14" ht="12.75">
      <c r="A254" s="93" t="s">
        <v>158</v>
      </c>
      <c r="B254" s="233">
        <f>'INPUT 1 - 2010 MATERIAL USAGE'!G15*'% PRODUCTION'!M5</f>
        <v>147.43906879682467</v>
      </c>
      <c r="C254" s="232">
        <v>0.2275</v>
      </c>
      <c r="D254" s="61">
        <f t="shared" si="52"/>
        <v>33.54238815127761</v>
      </c>
      <c r="E254" s="63">
        <v>0.64</v>
      </c>
      <c r="F254" s="70">
        <f t="shared" si="53"/>
        <v>21.467128416817673</v>
      </c>
      <c r="G254" s="64">
        <f t="shared" si="54"/>
        <v>0.010733564208408836</v>
      </c>
      <c r="H254" s="7"/>
      <c r="I254" s="8"/>
      <c r="J254"/>
      <c r="M254" s="2"/>
      <c r="N254"/>
    </row>
    <row r="255" spans="1:14" ht="12.75">
      <c r="A255" s="93" t="s">
        <v>159</v>
      </c>
      <c r="B255" s="233">
        <f>'INPUT 1 - 2010 MATERIAL USAGE'!H15*'% PRODUCTION'!M5</f>
        <v>147.43906879682467</v>
      </c>
      <c r="C255" s="232">
        <v>0.2275</v>
      </c>
      <c r="D255" s="61">
        <f t="shared" si="52"/>
        <v>33.54238815127761</v>
      </c>
      <c r="E255" s="63">
        <v>0.64</v>
      </c>
      <c r="F255" s="70">
        <f t="shared" si="53"/>
        <v>21.467128416817673</v>
      </c>
      <c r="G255" s="64">
        <f t="shared" si="54"/>
        <v>0.010733564208408836</v>
      </c>
      <c r="H255" s="7"/>
      <c r="I255" s="8"/>
      <c r="J255"/>
      <c r="M255" s="2"/>
      <c r="N255"/>
    </row>
    <row r="256" spans="1:14" ht="12.75">
      <c r="A256" s="93" t="s">
        <v>160</v>
      </c>
      <c r="B256" s="233">
        <f>'INPUT 1 - 2010 MATERIAL USAGE'!I15*'% PRODUCTION'!M5</f>
        <v>0</v>
      </c>
      <c r="C256" s="232">
        <v>0.2275</v>
      </c>
      <c r="D256" s="61">
        <f t="shared" si="52"/>
        <v>0</v>
      </c>
      <c r="E256" s="63">
        <v>0.64</v>
      </c>
      <c r="F256" s="70">
        <f t="shared" si="53"/>
        <v>0</v>
      </c>
      <c r="G256" s="64">
        <f t="shared" si="54"/>
        <v>0</v>
      </c>
      <c r="H256" s="7"/>
      <c r="I256" s="8"/>
      <c r="J256"/>
      <c r="M256" s="2"/>
      <c r="N256"/>
    </row>
    <row r="257" spans="1:14" ht="12.75">
      <c r="A257" s="93" t="s">
        <v>152</v>
      </c>
      <c r="B257" s="233">
        <f>'INPUT 1 - 2010 MATERIAL USAGE'!J15*'% PRODUCTION'!M5</f>
        <v>0</v>
      </c>
      <c r="C257" s="232">
        <v>0.2275</v>
      </c>
      <c r="D257" s="61">
        <f t="shared" si="52"/>
        <v>0</v>
      </c>
      <c r="E257" s="63">
        <v>0.64</v>
      </c>
      <c r="F257" s="70">
        <f t="shared" si="53"/>
        <v>0</v>
      </c>
      <c r="G257" s="64">
        <f t="shared" si="54"/>
        <v>0</v>
      </c>
      <c r="H257" s="7"/>
      <c r="I257" s="8"/>
      <c r="J257"/>
      <c r="M257" s="2"/>
      <c r="N257"/>
    </row>
    <row r="258" spans="1:14" ht="12.75">
      <c r="A258" s="93" t="s">
        <v>153</v>
      </c>
      <c r="B258" s="233">
        <f>'INPUT 1 - 2010 MATERIAL USAGE'!K15*'% PRODUCTION'!M5</f>
        <v>0</v>
      </c>
      <c r="C258" s="232">
        <v>0.2275</v>
      </c>
      <c r="D258" s="61">
        <f t="shared" si="52"/>
        <v>0</v>
      </c>
      <c r="E258" s="63">
        <v>0.64</v>
      </c>
      <c r="F258" s="70">
        <f t="shared" si="53"/>
        <v>0</v>
      </c>
      <c r="G258" s="64">
        <f t="shared" si="54"/>
        <v>0</v>
      </c>
      <c r="H258" s="7"/>
      <c r="I258" s="8"/>
      <c r="J258"/>
      <c r="M258" s="2"/>
      <c r="N258"/>
    </row>
    <row r="259" spans="1:14" ht="12.75">
      <c r="A259" s="93" t="s">
        <v>161</v>
      </c>
      <c r="B259" s="233">
        <f>'INPUT 1 - 2010 MATERIAL USAGE'!L15*'% PRODUCTION'!M5</f>
        <v>0</v>
      </c>
      <c r="C259" s="232">
        <v>0.2275</v>
      </c>
      <c r="D259" s="61">
        <f t="shared" si="52"/>
        <v>0</v>
      </c>
      <c r="E259" s="63">
        <v>0.64</v>
      </c>
      <c r="F259" s="70">
        <f t="shared" si="53"/>
        <v>0</v>
      </c>
      <c r="G259" s="64">
        <f t="shared" si="54"/>
        <v>0</v>
      </c>
      <c r="H259" s="7"/>
      <c r="I259" s="8"/>
      <c r="J259"/>
      <c r="M259" s="2"/>
      <c r="N259"/>
    </row>
    <row r="260" spans="1:14" ht="13.5" thickBot="1">
      <c r="A260" s="93" t="s">
        <v>155</v>
      </c>
      <c r="B260" s="233">
        <f>'INPUT 1 - 2010 MATERIAL USAGE'!M15*'% PRODUCTION'!M5</f>
        <v>0</v>
      </c>
      <c r="C260" s="232">
        <v>0.2275</v>
      </c>
      <c r="D260" s="61">
        <f t="shared" si="52"/>
        <v>0</v>
      </c>
      <c r="E260" s="63">
        <v>0.64</v>
      </c>
      <c r="F260" s="70">
        <f t="shared" si="53"/>
        <v>0</v>
      </c>
      <c r="G260" s="64">
        <f t="shared" si="54"/>
        <v>0</v>
      </c>
      <c r="H260" s="7"/>
      <c r="I260" s="8"/>
      <c r="J260"/>
      <c r="M260" s="2"/>
      <c r="N260"/>
    </row>
    <row r="261" spans="1:14" ht="14.25" thickBot="1" thickTop="1">
      <c r="A261" s="65" t="s">
        <v>11</v>
      </c>
      <c r="B261" s="74">
        <f>SUM(B249:B260)</f>
        <v>1739.7810118025309</v>
      </c>
      <c r="C261" s="74"/>
      <c r="D261" s="74">
        <f>SUM(D249:D260)</f>
        <v>395.8001801850759</v>
      </c>
      <c r="E261" s="74"/>
      <c r="F261" s="74">
        <f>SUM(F249:F260)</f>
        <v>253.31211531844855</v>
      </c>
      <c r="G261" s="75">
        <f>SUM(G249:G260)</f>
        <v>0.12665605765922427</v>
      </c>
      <c r="H261" s="7"/>
      <c r="I261" s="8"/>
      <c r="J261"/>
      <c r="M261" s="2"/>
      <c r="N261"/>
    </row>
    <row r="262" spans="1:8" ht="13.5" thickBot="1">
      <c r="A262" s="33"/>
      <c r="B262" s="55"/>
      <c r="C262" s="55"/>
      <c r="D262" s="55"/>
      <c r="E262" s="55"/>
      <c r="F262" s="55"/>
      <c r="G262" s="55"/>
      <c r="H262" s="55"/>
    </row>
    <row r="263" spans="1:14" ht="13.5" thickBot="1">
      <c r="A263" s="354" t="s">
        <v>226</v>
      </c>
      <c r="B263" s="355"/>
      <c r="C263" s="355"/>
      <c r="D263" s="355"/>
      <c r="E263" s="355"/>
      <c r="F263" s="355"/>
      <c r="G263" s="356"/>
      <c r="H263"/>
      <c r="I263"/>
      <c r="J263"/>
      <c r="N263"/>
    </row>
    <row r="264" spans="1:14" ht="24.75" thickBot="1">
      <c r="A264" s="50" t="s">
        <v>6</v>
      </c>
      <c r="B264" s="51" t="s">
        <v>229</v>
      </c>
      <c r="C264" s="51" t="s">
        <v>228</v>
      </c>
      <c r="D264" s="52" t="s">
        <v>10</v>
      </c>
      <c r="E264" s="52" t="s">
        <v>3</v>
      </c>
      <c r="F264" s="217" t="s">
        <v>4</v>
      </c>
      <c r="G264" s="52" t="s">
        <v>5</v>
      </c>
      <c r="H264"/>
      <c r="I264"/>
      <c r="J264"/>
      <c r="N264"/>
    </row>
    <row r="265" spans="1:14" ht="13.5" thickBot="1">
      <c r="A265" s="354" t="s">
        <v>227</v>
      </c>
      <c r="B265" s="355"/>
      <c r="C265" s="355"/>
      <c r="D265" s="355"/>
      <c r="E265" s="355"/>
      <c r="F265" s="355"/>
      <c r="G265" s="356"/>
      <c r="H265"/>
      <c r="I265"/>
      <c r="J265"/>
      <c r="N265"/>
    </row>
    <row r="266" spans="1:14" ht="12.75">
      <c r="A266" s="93" t="s">
        <v>143</v>
      </c>
      <c r="B266" s="233">
        <f>'INPUT 1 - 2010 MATERIAL USAGE'!B15*'% PRODUCTION'!M6</f>
        <v>564.0974899250806</v>
      </c>
      <c r="C266" s="232">
        <v>0.2275</v>
      </c>
      <c r="D266" s="61">
        <f>B266*C266</f>
        <v>128.33217895795585</v>
      </c>
      <c r="E266" s="63">
        <v>0.63</v>
      </c>
      <c r="F266" s="70">
        <f>D266*E266</f>
        <v>80.84927274351219</v>
      </c>
      <c r="G266" s="64">
        <f>F266/2000</f>
        <v>0.04042463637175609</v>
      </c>
      <c r="H266"/>
      <c r="I266"/>
      <c r="J266"/>
      <c r="N266"/>
    </row>
    <row r="267" spans="1:14" ht="12.75">
      <c r="A267" s="93" t="s">
        <v>156</v>
      </c>
      <c r="B267" s="233">
        <f>'INPUT 1 - 2010 MATERIAL USAGE'!C15*'% PRODUCTION'!M6</f>
        <v>493.58530368444553</v>
      </c>
      <c r="C267" s="232">
        <v>0.2275</v>
      </c>
      <c r="D267" s="61">
        <f aca="true" t="shared" si="55" ref="D267:D277">B267*C267</f>
        <v>112.29065658821136</v>
      </c>
      <c r="E267" s="63">
        <v>0.63</v>
      </c>
      <c r="F267" s="70">
        <f aca="true" t="shared" si="56" ref="F267:F277">D267*E267</f>
        <v>70.74311365057316</v>
      </c>
      <c r="G267" s="64">
        <f aca="true" t="shared" si="57" ref="G267:G277">F267/2000</f>
        <v>0.03537155682528658</v>
      </c>
      <c r="H267"/>
      <c r="I267"/>
      <c r="J267"/>
      <c r="N267"/>
    </row>
    <row r="268" spans="1:14" ht="12.75">
      <c r="A268" s="93" t="s">
        <v>157</v>
      </c>
      <c r="B268" s="233">
        <f>'INPUT 1 - 2010 MATERIAL USAGE'!D15*'% PRODUCTION'!M6</f>
        <v>775.6340486469859</v>
      </c>
      <c r="C268" s="232">
        <v>0.2275</v>
      </c>
      <c r="D268" s="61">
        <f t="shared" si="55"/>
        <v>176.4567460671893</v>
      </c>
      <c r="E268" s="63">
        <v>0.63</v>
      </c>
      <c r="F268" s="70">
        <f t="shared" si="56"/>
        <v>111.16775002232926</v>
      </c>
      <c r="G268" s="64">
        <f t="shared" si="57"/>
        <v>0.05558387501116463</v>
      </c>
      <c r="H268"/>
      <c r="I268"/>
      <c r="J268"/>
      <c r="N268"/>
    </row>
    <row r="269" spans="1:14" ht="12.75">
      <c r="A269" s="93" t="s">
        <v>147</v>
      </c>
      <c r="B269" s="233">
        <f>'INPUT 1 - 2010 MATERIAL USAGE'!E15*'% PRODUCTION'!M6</f>
        <v>775.6340486469859</v>
      </c>
      <c r="C269" s="232">
        <v>0.2275</v>
      </c>
      <c r="D269" s="61">
        <f t="shared" si="55"/>
        <v>176.4567460671893</v>
      </c>
      <c r="E269" s="63">
        <v>0.63</v>
      </c>
      <c r="F269" s="70">
        <f t="shared" si="56"/>
        <v>111.16775002232926</v>
      </c>
      <c r="G269" s="64">
        <f t="shared" si="57"/>
        <v>0.05558387501116463</v>
      </c>
      <c r="H269"/>
      <c r="I269"/>
      <c r="J269"/>
      <c r="N269"/>
    </row>
    <row r="270" spans="1:14" ht="12.75">
      <c r="A270" s="93" t="s">
        <v>148</v>
      </c>
      <c r="B270" s="233">
        <f>'INPUT 1 - 2010 MATERIAL USAGE'!F15*'% PRODUCTION'!M6</f>
        <v>846.146234887621</v>
      </c>
      <c r="C270" s="232">
        <v>0.2275</v>
      </c>
      <c r="D270" s="61">
        <f t="shared" si="55"/>
        <v>192.49826843693378</v>
      </c>
      <c r="E270" s="63">
        <v>0.63</v>
      </c>
      <c r="F270" s="70">
        <f t="shared" si="56"/>
        <v>121.27390911526828</v>
      </c>
      <c r="G270" s="64">
        <f t="shared" si="57"/>
        <v>0.06063695455763414</v>
      </c>
      <c r="H270"/>
      <c r="I270"/>
      <c r="J270"/>
      <c r="N270"/>
    </row>
    <row r="271" spans="1:14" ht="12.75">
      <c r="A271" s="93" t="s">
        <v>158</v>
      </c>
      <c r="B271" s="233">
        <f>'INPUT 1 - 2010 MATERIAL USAGE'!G15*'% PRODUCTION'!M6</f>
        <v>352.5609312031754</v>
      </c>
      <c r="C271" s="232">
        <v>0.2275</v>
      </c>
      <c r="D271" s="61">
        <f t="shared" si="55"/>
        <v>80.20761184872241</v>
      </c>
      <c r="E271" s="63">
        <v>0.63</v>
      </c>
      <c r="F271" s="70">
        <f t="shared" si="56"/>
        <v>50.53079546469512</v>
      </c>
      <c r="G271" s="64">
        <f t="shared" si="57"/>
        <v>0.02526539773234756</v>
      </c>
      <c r="H271"/>
      <c r="I271"/>
      <c r="J271"/>
      <c r="N271"/>
    </row>
    <row r="272" spans="1:14" ht="12.75">
      <c r="A272" s="93" t="s">
        <v>159</v>
      </c>
      <c r="B272" s="233">
        <f>'INPUT 1 - 2010 MATERIAL USAGE'!H15*'% PRODUCTION'!M6</f>
        <v>352.5609312031754</v>
      </c>
      <c r="C272" s="232">
        <v>0.2275</v>
      </c>
      <c r="D272" s="61">
        <f t="shared" si="55"/>
        <v>80.20761184872241</v>
      </c>
      <c r="E272" s="63">
        <v>0.63</v>
      </c>
      <c r="F272" s="70">
        <f t="shared" si="56"/>
        <v>50.53079546469512</v>
      </c>
      <c r="G272" s="64">
        <f t="shared" si="57"/>
        <v>0.02526539773234756</v>
      </c>
      <c r="H272"/>
      <c r="I272"/>
      <c r="J272"/>
      <c r="N272"/>
    </row>
    <row r="273" spans="1:14" ht="12.75">
      <c r="A273" s="93" t="s">
        <v>160</v>
      </c>
      <c r="B273" s="233">
        <f>'INPUT 1 - 2010 MATERIAL USAGE'!I15*'% PRODUCTION'!M6</f>
        <v>0</v>
      </c>
      <c r="C273" s="232">
        <v>0.2275</v>
      </c>
      <c r="D273" s="61">
        <f t="shared" si="55"/>
        <v>0</v>
      </c>
      <c r="E273" s="63">
        <v>0.63</v>
      </c>
      <c r="F273" s="70">
        <f t="shared" si="56"/>
        <v>0</v>
      </c>
      <c r="G273" s="64">
        <f t="shared" si="57"/>
        <v>0</v>
      </c>
      <c r="H273"/>
      <c r="I273"/>
      <c r="J273"/>
      <c r="N273"/>
    </row>
    <row r="274" spans="1:14" ht="12.75">
      <c r="A274" s="93" t="s">
        <v>152</v>
      </c>
      <c r="B274" s="233">
        <f>'INPUT 1 - 2010 MATERIAL USAGE'!J15*'% PRODUCTION'!M6</f>
        <v>0</v>
      </c>
      <c r="C274" s="232">
        <v>0.2275</v>
      </c>
      <c r="D274" s="61">
        <f t="shared" si="55"/>
        <v>0</v>
      </c>
      <c r="E274" s="63">
        <v>0.63</v>
      </c>
      <c r="F274" s="70">
        <f t="shared" si="56"/>
        <v>0</v>
      </c>
      <c r="G274" s="64">
        <f t="shared" si="57"/>
        <v>0</v>
      </c>
      <c r="H274"/>
      <c r="I274"/>
      <c r="J274"/>
      <c r="N274"/>
    </row>
    <row r="275" spans="1:14" ht="12.75">
      <c r="A275" s="93" t="s">
        <v>153</v>
      </c>
      <c r="B275" s="233">
        <f>'INPUT 1 - 2010 MATERIAL USAGE'!K15*'% PRODUCTION'!M6</f>
        <v>0</v>
      </c>
      <c r="C275" s="232">
        <v>0.2275</v>
      </c>
      <c r="D275" s="61">
        <f t="shared" si="55"/>
        <v>0</v>
      </c>
      <c r="E275" s="63">
        <v>0.63</v>
      </c>
      <c r="F275" s="70">
        <f t="shared" si="56"/>
        <v>0</v>
      </c>
      <c r="G275" s="64">
        <f t="shared" si="57"/>
        <v>0</v>
      </c>
      <c r="H275"/>
      <c r="I275"/>
      <c r="J275"/>
      <c r="N275"/>
    </row>
    <row r="276" spans="1:14" ht="12.75">
      <c r="A276" s="93" t="s">
        <v>161</v>
      </c>
      <c r="B276" s="233">
        <f>'INPUT 1 - 2010 MATERIAL USAGE'!L15*'% PRODUCTION'!M6</f>
        <v>0</v>
      </c>
      <c r="C276" s="232">
        <v>0.2275</v>
      </c>
      <c r="D276" s="61">
        <f t="shared" si="55"/>
        <v>0</v>
      </c>
      <c r="E276" s="63">
        <v>0.63</v>
      </c>
      <c r="F276" s="70">
        <f t="shared" si="56"/>
        <v>0</v>
      </c>
      <c r="G276" s="64">
        <f t="shared" si="57"/>
        <v>0</v>
      </c>
      <c r="H276"/>
      <c r="I276"/>
      <c r="J276"/>
      <c r="N276"/>
    </row>
    <row r="277" spans="1:14" ht="13.5" thickBot="1">
      <c r="A277" s="93" t="s">
        <v>155</v>
      </c>
      <c r="B277" s="233">
        <f>'INPUT 1 - 2010 MATERIAL USAGE'!M15*'% PRODUCTION'!M6</f>
        <v>0</v>
      </c>
      <c r="C277" s="232">
        <v>0.2275</v>
      </c>
      <c r="D277" s="61">
        <f t="shared" si="55"/>
        <v>0</v>
      </c>
      <c r="E277" s="63">
        <v>0.63</v>
      </c>
      <c r="F277" s="70">
        <f t="shared" si="56"/>
        <v>0</v>
      </c>
      <c r="G277" s="64">
        <f t="shared" si="57"/>
        <v>0</v>
      </c>
      <c r="H277"/>
      <c r="I277"/>
      <c r="J277"/>
      <c r="N277"/>
    </row>
    <row r="278" spans="1:14" ht="14.25" thickBot="1" thickTop="1">
      <c r="A278" s="65" t="s">
        <v>11</v>
      </c>
      <c r="B278" s="74">
        <f>SUM(B266:B277)</f>
        <v>4160.21898819747</v>
      </c>
      <c r="C278" s="74"/>
      <c r="D278" s="74">
        <f>SUM(D266:D277)</f>
        <v>946.4498198149245</v>
      </c>
      <c r="E278" s="74"/>
      <c r="F278" s="74">
        <f>SUM(F266:F277)</f>
        <v>596.2633864834023</v>
      </c>
      <c r="G278" s="75">
        <f>SUM(G266:G277)</f>
        <v>0.29813169324170113</v>
      </c>
      <c r="H278"/>
      <c r="I278"/>
      <c r="J278"/>
      <c r="N278"/>
    </row>
    <row r="279" spans="1:8" ht="13.5" thickBot="1">
      <c r="A279" s="33"/>
      <c r="B279" s="55"/>
      <c r="C279" s="55"/>
      <c r="D279" s="55"/>
      <c r="E279" s="55"/>
      <c r="F279" s="55"/>
      <c r="G279" s="55"/>
      <c r="H279" s="55"/>
    </row>
    <row r="280" spans="1:8" ht="13.5" thickBot="1">
      <c r="A280" s="390" t="s">
        <v>179</v>
      </c>
      <c r="B280" s="391"/>
      <c r="C280" s="391"/>
      <c r="D280" s="391"/>
      <c r="E280" s="391"/>
      <c r="F280" s="391"/>
      <c r="G280" s="391"/>
      <c r="H280" s="407"/>
    </row>
    <row r="281" spans="1:8" ht="13.5" thickBot="1">
      <c r="A281" s="401" t="s">
        <v>64</v>
      </c>
      <c r="B281" s="402"/>
      <c r="C281" s="402"/>
      <c r="D281" s="402"/>
      <c r="E281" s="402"/>
      <c r="F281" s="402"/>
      <c r="G281" s="402"/>
      <c r="H281" s="403"/>
    </row>
    <row r="282" ht="12.75"/>
    <row r="283" spans="1:8" ht="12.75">
      <c r="A283" s="33"/>
      <c r="B283" s="34"/>
      <c r="C283" s="28"/>
      <c r="D283" s="34"/>
      <c r="E283" s="34"/>
      <c r="F283" s="35"/>
      <c r="G283" s="55"/>
      <c r="H283" s="57"/>
    </row>
    <row r="284" spans="1:8" ht="13.5" thickBot="1">
      <c r="A284" s="408" t="s">
        <v>200</v>
      </c>
      <c r="B284" s="408"/>
      <c r="C284" s="408"/>
      <c r="D284" s="408"/>
      <c r="E284" s="408"/>
      <c r="F284" s="408"/>
      <c r="G284" s="408"/>
      <c r="H284" s="408"/>
    </row>
    <row r="285" spans="1:8" ht="36.75" thickBot="1">
      <c r="A285" s="50" t="s">
        <v>6</v>
      </c>
      <c r="B285" s="51" t="s">
        <v>7</v>
      </c>
      <c r="C285" s="51" t="s">
        <v>12</v>
      </c>
      <c r="D285" s="51" t="s">
        <v>9</v>
      </c>
      <c r="E285" s="52" t="s">
        <v>13</v>
      </c>
      <c r="F285" s="52" t="s">
        <v>3</v>
      </c>
      <c r="G285" s="217" t="s">
        <v>14</v>
      </c>
      <c r="H285" s="52" t="s">
        <v>15</v>
      </c>
    </row>
    <row r="286" spans="1:8" ht="13.5" thickBot="1">
      <c r="A286" s="359" t="s">
        <v>57</v>
      </c>
      <c r="B286" s="362"/>
      <c r="C286" s="362"/>
      <c r="D286" s="362"/>
      <c r="E286" s="362"/>
      <c r="F286" s="362"/>
      <c r="G286" s="362"/>
      <c r="H286" s="363"/>
    </row>
    <row r="287" spans="1:8" ht="12.75">
      <c r="A287" s="59"/>
      <c r="B287" s="22"/>
      <c r="C287" s="22"/>
      <c r="D287" s="22"/>
      <c r="E287" s="22"/>
      <c r="F287" s="22"/>
      <c r="G287" s="70"/>
      <c r="H287" s="60"/>
    </row>
    <row r="288" spans="1:8" ht="12.75">
      <c r="A288" s="93" t="str">
        <f>A215</f>
        <v>Jan</v>
      </c>
      <c r="B288" s="61">
        <f>B72</f>
        <v>71.78776241829263</v>
      </c>
      <c r="C288" s="62">
        <v>0.1</v>
      </c>
      <c r="D288" s="61">
        <f aca="true" t="shared" si="58" ref="D288:D299">B288*9.01</f>
        <v>646.8077393888166</v>
      </c>
      <c r="E288" s="61">
        <f aca="true" t="shared" si="59" ref="E288:E299">D288*C288</f>
        <v>64.68077393888166</v>
      </c>
      <c r="F288" s="63">
        <v>0.37</v>
      </c>
      <c r="G288" s="70">
        <f>F288*E288</f>
        <v>23.93188635738621</v>
      </c>
      <c r="H288" s="64">
        <f aca="true" t="shared" si="60" ref="H288:H299">G288/2000</f>
        <v>0.011965943178693105</v>
      </c>
    </row>
    <row r="289" spans="1:8" ht="12.75">
      <c r="A289" s="93" t="str">
        <f aca="true" t="shared" si="61" ref="A289:A299">A216</f>
        <v>Feb</v>
      </c>
      <c r="B289" s="61">
        <f aca="true" t="shared" si="62" ref="B289:B299">B73</f>
        <v>23.929254139430878</v>
      </c>
      <c r="C289" s="62">
        <v>0.1</v>
      </c>
      <c r="D289" s="61">
        <f t="shared" si="58"/>
        <v>215.6025797962722</v>
      </c>
      <c r="E289" s="61">
        <f t="shared" si="59"/>
        <v>21.560257979627224</v>
      </c>
      <c r="F289" s="63">
        <v>0.37</v>
      </c>
      <c r="G289" s="70">
        <f aca="true" t="shared" si="63" ref="G289:G299">F289*E289</f>
        <v>7.977295452462073</v>
      </c>
      <c r="H289" s="64">
        <f t="shared" si="60"/>
        <v>0.003988647726231037</v>
      </c>
    </row>
    <row r="290" spans="1:8" ht="12.75">
      <c r="A290" s="93" t="str">
        <f t="shared" si="61"/>
        <v>Mar</v>
      </c>
      <c r="B290" s="61">
        <f t="shared" si="62"/>
        <v>95.71701655772351</v>
      </c>
      <c r="C290" s="62">
        <v>0.1</v>
      </c>
      <c r="D290" s="61">
        <f t="shared" si="58"/>
        <v>862.4103191850888</v>
      </c>
      <c r="E290" s="61">
        <f t="shared" si="59"/>
        <v>86.2410319185089</v>
      </c>
      <c r="F290" s="63">
        <v>0.37</v>
      </c>
      <c r="G290" s="70">
        <f t="shared" si="63"/>
        <v>31.909181809848292</v>
      </c>
      <c r="H290" s="64">
        <f t="shared" si="60"/>
        <v>0.015954590904924147</v>
      </c>
    </row>
    <row r="291" spans="1:8" ht="12.75">
      <c r="A291" s="93" t="str">
        <f t="shared" si="61"/>
        <v>Apr</v>
      </c>
      <c r="B291" s="61">
        <f t="shared" si="62"/>
        <v>95.71701655772351</v>
      </c>
      <c r="C291" s="62">
        <v>0.1</v>
      </c>
      <c r="D291" s="61">
        <f t="shared" si="58"/>
        <v>862.4103191850888</v>
      </c>
      <c r="E291" s="61">
        <f t="shared" si="59"/>
        <v>86.2410319185089</v>
      </c>
      <c r="F291" s="63">
        <v>0.37</v>
      </c>
      <c r="G291" s="70">
        <f t="shared" si="63"/>
        <v>31.909181809848292</v>
      </c>
      <c r="H291" s="64">
        <f t="shared" si="60"/>
        <v>0.015954590904924147</v>
      </c>
    </row>
    <row r="292" spans="1:8" ht="12.75">
      <c r="A292" s="93" t="str">
        <f t="shared" si="61"/>
        <v>May</v>
      </c>
      <c r="B292" s="61">
        <f t="shared" si="62"/>
        <v>59.82313534857719</v>
      </c>
      <c r="C292" s="62">
        <v>0.1</v>
      </c>
      <c r="D292" s="61">
        <f t="shared" si="58"/>
        <v>539.0064494906804</v>
      </c>
      <c r="E292" s="61">
        <f t="shared" si="59"/>
        <v>53.900644949068045</v>
      </c>
      <c r="F292" s="63">
        <v>0.37</v>
      </c>
      <c r="G292" s="70">
        <f t="shared" si="63"/>
        <v>19.943238631155175</v>
      </c>
      <c r="H292" s="64">
        <f t="shared" si="60"/>
        <v>0.009971619315577588</v>
      </c>
    </row>
    <row r="293" spans="1:8" ht="12.75">
      <c r="A293" s="93" t="str">
        <f t="shared" si="61"/>
        <v>Jun</v>
      </c>
      <c r="B293" s="61">
        <f t="shared" si="62"/>
        <v>83.75238948800806</v>
      </c>
      <c r="C293" s="62">
        <v>0.1</v>
      </c>
      <c r="D293" s="61">
        <f t="shared" si="58"/>
        <v>754.6090292869526</v>
      </c>
      <c r="E293" s="61">
        <f t="shared" si="59"/>
        <v>75.46090292869526</v>
      </c>
      <c r="F293" s="63">
        <v>0.37</v>
      </c>
      <c r="G293" s="70">
        <f t="shared" si="63"/>
        <v>27.920534083617248</v>
      </c>
      <c r="H293" s="64">
        <f t="shared" si="60"/>
        <v>0.013960267041808624</v>
      </c>
    </row>
    <row r="294" spans="1:8" ht="12.75">
      <c r="A294" s="93" t="str">
        <f t="shared" si="61"/>
        <v>Jul</v>
      </c>
      <c r="B294" s="61">
        <f t="shared" si="62"/>
        <v>83.75238948800806</v>
      </c>
      <c r="C294" s="62">
        <v>0.1</v>
      </c>
      <c r="D294" s="61">
        <f t="shared" si="58"/>
        <v>754.6090292869526</v>
      </c>
      <c r="E294" s="61">
        <f t="shared" si="59"/>
        <v>75.46090292869526</v>
      </c>
      <c r="F294" s="63">
        <v>0.37</v>
      </c>
      <c r="G294" s="70">
        <f t="shared" si="63"/>
        <v>27.920534083617248</v>
      </c>
      <c r="H294" s="64">
        <f t="shared" si="60"/>
        <v>0.013960267041808624</v>
      </c>
    </row>
    <row r="295" spans="1:8" ht="12.75">
      <c r="A295" s="93" t="str">
        <f t="shared" si="61"/>
        <v>Aug</v>
      </c>
      <c r="B295" s="61">
        <f t="shared" si="62"/>
        <v>0</v>
      </c>
      <c r="C295" s="62">
        <v>0.1</v>
      </c>
      <c r="D295" s="61">
        <f t="shared" si="58"/>
        <v>0</v>
      </c>
      <c r="E295" s="61">
        <f t="shared" si="59"/>
        <v>0</v>
      </c>
      <c r="F295" s="63">
        <v>0.37</v>
      </c>
      <c r="G295" s="70">
        <f t="shared" si="63"/>
        <v>0</v>
      </c>
      <c r="H295" s="64">
        <f t="shared" si="60"/>
        <v>0</v>
      </c>
    </row>
    <row r="296" spans="1:8" ht="12.75">
      <c r="A296" s="93" t="str">
        <f t="shared" si="61"/>
        <v>Sep</v>
      </c>
      <c r="B296" s="61">
        <f t="shared" si="62"/>
        <v>0</v>
      </c>
      <c r="C296" s="62">
        <v>0.1</v>
      </c>
      <c r="D296" s="61">
        <f t="shared" si="58"/>
        <v>0</v>
      </c>
      <c r="E296" s="61">
        <f t="shared" si="59"/>
        <v>0</v>
      </c>
      <c r="F296" s="63">
        <v>0.37</v>
      </c>
      <c r="G296" s="70">
        <f t="shared" si="63"/>
        <v>0</v>
      </c>
      <c r="H296" s="64">
        <f t="shared" si="60"/>
        <v>0</v>
      </c>
    </row>
    <row r="297" spans="1:8" ht="12.75">
      <c r="A297" s="93" t="str">
        <f t="shared" si="61"/>
        <v>Oct</v>
      </c>
      <c r="B297" s="61">
        <f t="shared" si="62"/>
        <v>0</v>
      </c>
      <c r="C297" s="62">
        <v>0.1</v>
      </c>
      <c r="D297" s="61">
        <f t="shared" si="58"/>
        <v>0</v>
      </c>
      <c r="E297" s="61">
        <f t="shared" si="59"/>
        <v>0</v>
      </c>
      <c r="F297" s="63">
        <v>0.37</v>
      </c>
      <c r="G297" s="70">
        <f t="shared" si="63"/>
        <v>0</v>
      </c>
      <c r="H297" s="64">
        <f t="shared" si="60"/>
        <v>0</v>
      </c>
    </row>
    <row r="298" spans="1:8" ht="12.75">
      <c r="A298" s="93" t="str">
        <f t="shared" si="61"/>
        <v>Nov</v>
      </c>
      <c r="B298" s="61">
        <f t="shared" si="62"/>
        <v>0</v>
      </c>
      <c r="C298" s="62">
        <v>0.1</v>
      </c>
      <c r="D298" s="61">
        <f t="shared" si="58"/>
        <v>0</v>
      </c>
      <c r="E298" s="61">
        <f t="shared" si="59"/>
        <v>0</v>
      </c>
      <c r="F298" s="63">
        <v>0.37</v>
      </c>
      <c r="G298" s="70">
        <f t="shared" si="63"/>
        <v>0</v>
      </c>
      <c r="H298" s="64">
        <f t="shared" si="60"/>
        <v>0</v>
      </c>
    </row>
    <row r="299" spans="1:8" ht="13.5" thickBot="1">
      <c r="A299" s="93" t="str">
        <f t="shared" si="61"/>
        <v>Dec</v>
      </c>
      <c r="B299" s="61">
        <f t="shared" si="62"/>
        <v>0</v>
      </c>
      <c r="C299" s="62">
        <v>0.1</v>
      </c>
      <c r="D299" s="61">
        <f t="shared" si="58"/>
        <v>0</v>
      </c>
      <c r="E299" s="61">
        <f t="shared" si="59"/>
        <v>0</v>
      </c>
      <c r="F299" s="63">
        <v>0.37</v>
      </c>
      <c r="G299" s="70">
        <f t="shared" si="63"/>
        <v>0</v>
      </c>
      <c r="H299" s="64">
        <f t="shared" si="60"/>
        <v>0</v>
      </c>
    </row>
    <row r="300" spans="1:8" ht="14.25" thickBot="1" thickTop="1">
      <c r="A300" s="65" t="s">
        <v>11</v>
      </c>
      <c r="B300" s="66">
        <f>SUM(B288:B299)</f>
        <v>514.4789639977638</v>
      </c>
      <c r="C300" s="66"/>
      <c r="D300" s="66">
        <f>SUM(D288:D299)</f>
        <v>4635.4554656198525</v>
      </c>
      <c r="E300" s="66">
        <f>SUM(E288:E299)</f>
        <v>463.54554656198525</v>
      </c>
      <c r="F300" s="66"/>
      <c r="G300" s="74">
        <f>SUM(G288:G299)</f>
        <v>171.51185222793453</v>
      </c>
      <c r="H300" s="67">
        <f>SUM(H288:H299)</f>
        <v>0.08575592611396728</v>
      </c>
    </row>
    <row r="301" spans="1:8" ht="12.75">
      <c r="A301" s="33"/>
      <c r="B301" s="28"/>
      <c r="C301" s="28"/>
      <c r="D301" s="28"/>
      <c r="E301" s="28"/>
      <c r="F301" s="35"/>
      <c r="G301" s="55"/>
      <c r="H301" s="28"/>
    </row>
    <row r="302" spans="3:8" ht="12.75">
      <c r="C302"/>
      <c r="E302"/>
      <c r="F302"/>
      <c r="G302" s="212"/>
      <c r="H302"/>
    </row>
    <row r="303" spans="1:8" ht="13.5" thickBot="1">
      <c r="A303" s="408" t="s">
        <v>201</v>
      </c>
      <c r="B303" s="408"/>
      <c r="C303" s="408"/>
      <c r="D303" s="408"/>
      <c r="E303" s="408"/>
      <c r="F303" s="408"/>
      <c r="G303" s="408"/>
      <c r="H303" s="408"/>
    </row>
    <row r="304" spans="1:8" ht="24.75" thickBot="1">
      <c r="A304" s="50" t="s">
        <v>6</v>
      </c>
      <c r="B304" s="51" t="s">
        <v>7</v>
      </c>
      <c r="C304" s="51" t="s">
        <v>12</v>
      </c>
      <c r="D304" s="51" t="s">
        <v>9</v>
      </c>
      <c r="E304" s="52" t="s">
        <v>13</v>
      </c>
      <c r="F304" s="52" t="s">
        <v>3</v>
      </c>
      <c r="G304" s="217" t="s">
        <v>14</v>
      </c>
      <c r="H304" s="52" t="s">
        <v>15</v>
      </c>
    </row>
    <row r="305" spans="1:8" ht="13.5" thickBot="1">
      <c r="A305" s="359" t="s">
        <v>57</v>
      </c>
      <c r="B305" s="362"/>
      <c r="C305" s="362"/>
      <c r="D305" s="362"/>
      <c r="E305" s="362"/>
      <c r="F305" s="362"/>
      <c r="G305" s="362"/>
      <c r="H305" s="363"/>
    </row>
    <row r="306" spans="1:8" ht="12.75">
      <c r="A306" s="59"/>
      <c r="B306" s="22"/>
      <c r="C306" s="22"/>
      <c r="D306" s="22"/>
      <c r="E306" s="22"/>
      <c r="F306" s="22"/>
      <c r="G306" s="70"/>
      <c r="H306" s="60"/>
    </row>
    <row r="307" spans="1:8" ht="12.75">
      <c r="A307" s="93" t="str">
        <f>A288</f>
        <v>Jan</v>
      </c>
      <c r="B307" s="61">
        <f>B89</f>
        <v>171.6611517810308</v>
      </c>
      <c r="C307" s="62">
        <f>C288</f>
        <v>0.1</v>
      </c>
      <c r="D307" s="61">
        <f aca="true" t="shared" si="64" ref="D307:D318">B307*9.01</f>
        <v>1546.6669775470875</v>
      </c>
      <c r="E307" s="61">
        <f aca="true" t="shared" si="65" ref="E307:E318">D307*C307</f>
        <v>154.66669775470876</v>
      </c>
      <c r="F307" s="63">
        <v>0.36</v>
      </c>
      <c r="G307" s="70">
        <f>E307*F307</f>
        <v>55.68001119169515</v>
      </c>
      <c r="H307" s="64">
        <f aca="true" t="shared" si="66" ref="H307:H318">G307/2000</f>
        <v>0.027840005595847574</v>
      </c>
    </row>
    <row r="308" spans="1:8" ht="12.75">
      <c r="A308" s="93" t="str">
        <f aca="true" t="shared" si="67" ref="A308:A318">A289</f>
        <v>Feb</v>
      </c>
      <c r="B308" s="61">
        <f aca="true" t="shared" si="68" ref="B308:B318">B90</f>
        <v>57.22038392701027</v>
      </c>
      <c r="C308" s="62">
        <f aca="true" t="shared" si="69" ref="C308:C318">C289</f>
        <v>0.1</v>
      </c>
      <c r="D308" s="61">
        <f t="shared" si="64"/>
        <v>515.5556591823625</v>
      </c>
      <c r="E308" s="61">
        <f t="shared" si="65"/>
        <v>51.555565918236255</v>
      </c>
      <c r="F308" s="63">
        <v>0.36</v>
      </c>
      <c r="G308" s="70">
        <f aca="true" t="shared" si="70" ref="G308:G318">E308*F308</f>
        <v>18.56000373056505</v>
      </c>
      <c r="H308" s="64">
        <f t="shared" si="66"/>
        <v>0.009280001865282526</v>
      </c>
    </row>
    <row r="309" spans="1:8" ht="12.75">
      <c r="A309" s="93" t="str">
        <f t="shared" si="67"/>
        <v>Mar</v>
      </c>
      <c r="B309" s="61">
        <f t="shared" si="68"/>
        <v>228.88153570804107</v>
      </c>
      <c r="C309" s="62">
        <f t="shared" si="69"/>
        <v>0.1</v>
      </c>
      <c r="D309" s="61">
        <f t="shared" si="64"/>
        <v>2062.22263672945</v>
      </c>
      <c r="E309" s="61">
        <f t="shared" si="65"/>
        <v>206.22226367294502</v>
      </c>
      <c r="F309" s="63">
        <v>0.36</v>
      </c>
      <c r="G309" s="70">
        <f t="shared" si="70"/>
        <v>74.2400149222602</v>
      </c>
      <c r="H309" s="64">
        <f t="shared" si="66"/>
        <v>0.0371200074611301</v>
      </c>
    </row>
    <row r="310" spans="1:8" ht="12.75">
      <c r="A310" s="93" t="str">
        <f t="shared" si="67"/>
        <v>Apr</v>
      </c>
      <c r="B310" s="61">
        <f t="shared" si="68"/>
        <v>228.88153570804107</v>
      </c>
      <c r="C310" s="62">
        <f t="shared" si="69"/>
        <v>0.1</v>
      </c>
      <c r="D310" s="61">
        <f t="shared" si="64"/>
        <v>2062.22263672945</v>
      </c>
      <c r="E310" s="61">
        <f t="shared" si="65"/>
        <v>206.22226367294502</v>
      </c>
      <c r="F310" s="63">
        <v>0.36</v>
      </c>
      <c r="G310" s="70">
        <f t="shared" si="70"/>
        <v>74.2400149222602</v>
      </c>
      <c r="H310" s="64">
        <f t="shared" si="66"/>
        <v>0.0371200074611301</v>
      </c>
    </row>
    <row r="311" spans="1:8" ht="12.75">
      <c r="A311" s="93" t="str">
        <f t="shared" si="67"/>
        <v>May</v>
      </c>
      <c r="B311" s="61">
        <f t="shared" si="68"/>
        <v>143.05095981752567</v>
      </c>
      <c r="C311" s="62">
        <f t="shared" si="69"/>
        <v>0.1</v>
      </c>
      <c r="D311" s="61">
        <f t="shared" si="64"/>
        <v>1288.8891479559063</v>
      </c>
      <c r="E311" s="61">
        <f t="shared" si="65"/>
        <v>128.88891479559064</v>
      </c>
      <c r="F311" s="63">
        <v>0.36</v>
      </c>
      <c r="G311" s="70">
        <f t="shared" si="70"/>
        <v>46.40000932641263</v>
      </c>
      <c r="H311" s="64">
        <f t="shared" si="66"/>
        <v>0.023200004663206316</v>
      </c>
    </row>
    <row r="312" spans="1:8" ht="12.75">
      <c r="A312" s="93" t="str">
        <f t="shared" si="67"/>
        <v>Jun</v>
      </c>
      <c r="B312" s="61">
        <f t="shared" si="68"/>
        <v>200.27134374453595</v>
      </c>
      <c r="C312" s="62">
        <f t="shared" si="69"/>
        <v>0.1</v>
      </c>
      <c r="D312" s="61">
        <f t="shared" si="64"/>
        <v>1804.444807138269</v>
      </c>
      <c r="E312" s="61">
        <f t="shared" si="65"/>
        <v>180.44448071382692</v>
      </c>
      <c r="F312" s="63">
        <v>0.36</v>
      </c>
      <c r="G312" s="70">
        <f t="shared" si="70"/>
        <v>64.96001305697769</v>
      </c>
      <c r="H312" s="64">
        <f t="shared" si="66"/>
        <v>0.03248000652848884</v>
      </c>
    </row>
    <row r="313" spans="1:8" ht="12.75">
      <c r="A313" s="93" t="str">
        <f t="shared" si="67"/>
        <v>Jul</v>
      </c>
      <c r="B313" s="61">
        <f t="shared" si="68"/>
        <v>200.27134374453595</v>
      </c>
      <c r="C313" s="62">
        <f t="shared" si="69"/>
        <v>0.1</v>
      </c>
      <c r="D313" s="61">
        <f t="shared" si="64"/>
        <v>1804.444807138269</v>
      </c>
      <c r="E313" s="61">
        <f t="shared" si="65"/>
        <v>180.44448071382692</v>
      </c>
      <c r="F313" s="63">
        <v>0.36</v>
      </c>
      <c r="G313" s="70">
        <f t="shared" si="70"/>
        <v>64.96001305697769</v>
      </c>
      <c r="H313" s="64">
        <f t="shared" si="66"/>
        <v>0.03248000652848884</v>
      </c>
    </row>
    <row r="314" spans="1:8" ht="12.75">
      <c r="A314" s="93" t="str">
        <f t="shared" si="67"/>
        <v>Aug</v>
      </c>
      <c r="B314" s="61">
        <f t="shared" si="68"/>
        <v>0</v>
      </c>
      <c r="C314" s="62">
        <f t="shared" si="69"/>
        <v>0.1</v>
      </c>
      <c r="D314" s="61">
        <f t="shared" si="64"/>
        <v>0</v>
      </c>
      <c r="E314" s="61">
        <f t="shared" si="65"/>
        <v>0</v>
      </c>
      <c r="F314" s="63">
        <v>0.36</v>
      </c>
      <c r="G314" s="70">
        <f t="shared" si="70"/>
        <v>0</v>
      </c>
      <c r="H314" s="64">
        <f t="shared" si="66"/>
        <v>0</v>
      </c>
    </row>
    <row r="315" spans="1:8" ht="12.75">
      <c r="A315" s="93" t="str">
        <f t="shared" si="67"/>
        <v>Sep</v>
      </c>
      <c r="B315" s="61">
        <f t="shared" si="68"/>
        <v>0</v>
      </c>
      <c r="C315" s="62">
        <f t="shared" si="69"/>
        <v>0.1</v>
      </c>
      <c r="D315" s="61">
        <f t="shared" si="64"/>
        <v>0</v>
      </c>
      <c r="E315" s="61">
        <f t="shared" si="65"/>
        <v>0</v>
      </c>
      <c r="F315" s="63">
        <v>0.36</v>
      </c>
      <c r="G315" s="70">
        <f t="shared" si="70"/>
        <v>0</v>
      </c>
      <c r="H315" s="64">
        <f t="shared" si="66"/>
        <v>0</v>
      </c>
    </row>
    <row r="316" spans="1:8" ht="12.75">
      <c r="A316" s="93" t="str">
        <f t="shared" si="67"/>
        <v>Oct</v>
      </c>
      <c r="B316" s="61">
        <f t="shared" si="68"/>
        <v>0</v>
      </c>
      <c r="C316" s="62">
        <f t="shared" si="69"/>
        <v>0.1</v>
      </c>
      <c r="D316" s="61">
        <f t="shared" si="64"/>
        <v>0</v>
      </c>
      <c r="E316" s="61">
        <f t="shared" si="65"/>
        <v>0</v>
      </c>
      <c r="F316" s="63">
        <v>0.36</v>
      </c>
      <c r="G316" s="70">
        <f t="shared" si="70"/>
        <v>0</v>
      </c>
      <c r="H316" s="64">
        <f t="shared" si="66"/>
        <v>0</v>
      </c>
    </row>
    <row r="317" spans="1:8" ht="12.75">
      <c r="A317" s="93" t="str">
        <f t="shared" si="67"/>
        <v>Nov</v>
      </c>
      <c r="B317" s="61">
        <f t="shared" si="68"/>
        <v>0</v>
      </c>
      <c r="C317" s="62">
        <f t="shared" si="69"/>
        <v>0.1</v>
      </c>
      <c r="D317" s="61">
        <f t="shared" si="64"/>
        <v>0</v>
      </c>
      <c r="E317" s="61">
        <f t="shared" si="65"/>
        <v>0</v>
      </c>
      <c r="F317" s="63">
        <v>0.36</v>
      </c>
      <c r="G317" s="70">
        <f t="shared" si="70"/>
        <v>0</v>
      </c>
      <c r="H317" s="64">
        <f t="shared" si="66"/>
        <v>0</v>
      </c>
    </row>
    <row r="318" spans="1:8" ht="13.5" thickBot="1">
      <c r="A318" s="93" t="str">
        <f t="shared" si="67"/>
        <v>Dec</v>
      </c>
      <c r="B318" s="61">
        <f t="shared" si="68"/>
        <v>0</v>
      </c>
      <c r="C318" s="62">
        <f t="shared" si="69"/>
        <v>0.1</v>
      </c>
      <c r="D318" s="61">
        <f t="shared" si="64"/>
        <v>0</v>
      </c>
      <c r="E318" s="61">
        <f t="shared" si="65"/>
        <v>0</v>
      </c>
      <c r="F318" s="63">
        <v>0.36</v>
      </c>
      <c r="G318" s="70">
        <f t="shared" si="70"/>
        <v>0</v>
      </c>
      <c r="H318" s="64">
        <f t="shared" si="66"/>
        <v>0</v>
      </c>
    </row>
    <row r="319" spans="1:8" ht="13.5" thickBot="1">
      <c r="A319" s="54" t="s">
        <v>11</v>
      </c>
      <c r="B319" s="71">
        <f>SUM(B307:B318)</f>
        <v>1230.2382544307206</v>
      </c>
      <c r="C319" s="71"/>
      <c r="D319" s="234">
        <f>SUM(D307:D318)</f>
        <v>11084.446672420794</v>
      </c>
      <c r="E319" s="71">
        <f>SUM(E307:E318)</f>
        <v>1108.4446672420795</v>
      </c>
      <c r="F319" s="72"/>
      <c r="G319" s="219">
        <f>SUM(G307:G318)</f>
        <v>399.0400802071486</v>
      </c>
      <c r="H319" s="73">
        <f>SUM(H307:H318)</f>
        <v>0.1995200401035743</v>
      </c>
    </row>
    <row r="320" spans="1:8" ht="12.75">
      <c r="A320" s="33"/>
      <c r="B320" s="28"/>
      <c r="C320" s="28"/>
      <c r="D320" s="28"/>
      <c r="E320" s="28"/>
      <c r="F320" s="35"/>
      <c r="G320" s="55"/>
      <c r="H320" s="28"/>
    </row>
    <row r="321" spans="1:8" ht="12.75">
      <c r="A321" s="33"/>
      <c r="B321" s="28"/>
      <c r="C321" s="28"/>
      <c r="D321" s="28"/>
      <c r="E321" s="28"/>
      <c r="F321" s="35"/>
      <c r="G321" s="55"/>
      <c r="H321" s="28"/>
    </row>
    <row r="322" spans="1:8" ht="13.5" thickBot="1">
      <c r="A322" s="408" t="s">
        <v>202</v>
      </c>
      <c r="B322" s="408"/>
      <c r="C322" s="408"/>
      <c r="D322" s="408"/>
      <c r="E322" s="408"/>
      <c r="F322" s="408"/>
      <c r="G322" s="408"/>
      <c r="H322" s="408"/>
    </row>
    <row r="323" spans="1:8" ht="24.75" thickBot="1">
      <c r="A323" s="50" t="s">
        <v>6</v>
      </c>
      <c r="B323" s="51" t="s">
        <v>7</v>
      </c>
      <c r="C323" s="51" t="s">
        <v>12</v>
      </c>
      <c r="D323" s="51" t="s">
        <v>9</v>
      </c>
      <c r="E323" s="52" t="s">
        <v>13</v>
      </c>
      <c r="F323" s="52" t="s">
        <v>3</v>
      </c>
      <c r="G323" s="217" t="s">
        <v>14</v>
      </c>
      <c r="H323" s="52" t="s">
        <v>15</v>
      </c>
    </row>
    <row r="324" spans="1:8" ht="13.5" thickBot="1">
      <c r="A324" s="359" t="s">
        <v>57</v>
      </c>
      <c r="B324" s="362"/>
      <c r="C324" s="362"/>
      <c r="D324" s="362"/>
      <c r="E324" s="362"/>
      <c r="F324" s="362"/>
      <c r="G324" s="362"/>
      <c r="H324" s="363"/>
    </row>
    <row r="325" spans="1:8" ht="12.75">
      <c r="A325" s="59"/>
      <c r="B325" s="22"/>
      <c r="C325" s="22"/>
      <c r="D325" s="22"/>
      <c r="E325" s="22"/>
      <c r="F325" s="22"/>
      <c r="G325" s="70"/>
      <c r="H325" s="60"/>
    </row>
    <row r="326" spans="1:8" ht="12.75">
      <c r="A326" s="93" t="str">
        <f>A307</f>
        <v>Jan</v>
      </c>
      <c r="B326" s="61">
        <f>B106</f>
        <v>86.55108580067653</v>
      </c>
      <c r="C326" s="62">
        <f>C307</f>
        <v>0.1</v>
      </c>
      <c r="D326" s="61">
        <f aca="true" t="shared" si="71" ref="D326:D337">B326*9.01</f>
        <v>779.8252830640955</v>
      </c>
      <c r="E326" s="61">
        <f aca="true" t="shared" si="72" ref="E326:E337">D326*C326</f>
        <v>77.98252830640956</v>
      </c>
      <c r="F326" s="63">
        <f>F307</f>
        <v>0.36</v>
      </c>
      <c r="G326" s="70">
        <f>E326*F326</f>
        <v>28.07371019030744</v>
      </c>
      <c r="H326" s="64">
        <f aca="true" t="shared" si="73" ref="H326:H337">G326/2000</f>
        <v>0.01403685509515372</v>
      </c>
    </row>
    <row r="327" spans="1:8" ht="12.75">
      <c r="A327" s="93" t="str">
        <f aca="true" t="shared" si="74" ref="A327:A336">A308</f>
        <v>Feb</v>
      </c>
      <c r="B327" s="61">
        <f aca="true" t="shared" si="75" ref="B327:B337">B107</f>
        <v>28.850361933558844</v>
      </c>
      <c r="C327" s="62">
        <f aca="true" t="shared" si="76" ref="C327:C337">C308</f>
        <v>0.1</v>
      </c>
      <c r="D327" s="61">
        <f t="shared" si="71"/>
        <v>259.94176102136515</v>
      </c>
      <c r="E327" s="61">
        <f t="shared" si="72"/>
        <v>25.994176102136517</v>
      </c>
      <c r="F327" s="63">
        <f aca="true" t="shared" si="77" ref="F327:F337">F308</f>
        <v>0.36</v>
      </c>
      <c r="G327" s="70">
        <f aca="true" t="shared" si="78" ref="G327:G337">E327*F327</f>
        <v>9.357903396769146</v>
      </c>
      <c r="H327" s="64">
        <f t="shared" si="73"/>
        <v>0.004678951698384573</v>
      </c>
    </row>
    <row r="328" spans="1:8" ht="12.75">
      <c r="A328" s="93" t="str">
        <f t="shared" si="74"/>
        <v>Mar</v>
      </c>
      <c r="B328" s="61">
        <f t="shared" si="75"/>
        <v>115.40144773423538</v>
      </c>
      <c r="C328" s="62">
        <f t="shared" si="76"/>
        <v>0.1</v>
      </c>
      <c r="D328" s="61">
        <f t="shared" si="71"/>
        <v>1039.7670440854606</v>
      </c>
      <c r="E328" s="61">
        <f t="shared" si="72"/>
        <v>103.97670440854607</v>
      </c>
      <c r="F328" s="63">
        <f t="shared" si="77"/>
        <v>0.36</v>
      </c>
      <c r="G328" s="70">
        <f t="shared" si="78"/>
        <v>37.43161358707658</v>
      </c>
      <c r="H328" s="64">
        <f t="shared" si="73"/>
        <v>0.018715806793538292</v>
      </c>
    </row>
    <row r="329" spans="1:8" ht="12.75">
      <c r="A329" s="93" t="str">
        <f t="shared" si="74"/>
        <v>Apr</v>
      </c>
      <c r="B329" s="61">
        <f t="shared" si="75"/>
        <v>115.40144773423538</v>
      </c>
      <c r="C329" s="62">
        <f t="shared" si="76"/>
        <v>0.1</v>
      </c>
      <c r="D329" s="61">
        <f t="shared" si="71"/>
        <v>1039.7670440854606</v>
      </c>
      <c r="E329" s="61">
        <f t="shared" si="72"/>
        <v>103.97670440854607</v>
      </c>
      <c r="F329" s="63">
        <f t="shared" si="77"/>
        <v>0.36</v>
      </c>
      <c r="G329" s="70">
        <f t="shared" si="78"/>
        <v>37.43161358707658</v>
      </c>
      <c r="H329" s="64">
        <f t="shared" si="73"/>
        <v>0.018715806793538292</v>
      </c>
    </row>
    <row r="330" spans="1:8" ht="12.75">
      <c r="A330" s="93" t="str">
        <f t="shared" si="74"/>
        <v>May</v>
      </c>
      <c r="B330" s="61">
        <f t="shared" si="75"/>
        <v>72.12590483389711</v>
      </c>
      <c r="C330" s="62">
        <f t="shared" si="76"/>
        <v>0.1</v>
      </c>
      <c r="D330" s="61">
        <f t="shared" si="71"/>
        <v>649.8544025534129</v>
      </c>
      <c r="E330" s="61">
        <f t="shared" si="72"/>
        <v>64.98544025534129</v>
      </c>
      <c r="F330" s="63">
        <f t="shared" si="77"/>
        <v>0.36</v>
      </c>
      <c r="G330" s="70">
        <f t="shared" si="78"/>
        <v>23.394758491922865</v>
      </c>
      <c r="H330" s="64">
        <f t="shared" si="73"/>
        <v>0.011697379245961433</v>
      </c>
    </row>
    <row r="331" spans="1:8" ht="12.75">
      <c r="A331" s="93" t="str">
        <f t="shared" si="74"/>
        <v>Jun</v>
      </c>
      <c r="B331" s="61">
        <f t="shared" si="75"/>
        <v>100.97626676745595</v>
      </c>
      <c r="C331" s="62">
        <f t="shared" si="76"/>
        <v>0.1</v>
      </c>
      <c r="D331" s="61">
        <f t="shared" si="71"/>
        <v>909.7961635747781</v>
      </c>
      <c r="E331" s="61">
        <f t="shared" si="72"/>
        <v>90.97961635747782</v>
      </c>
      <c r="F331" s="63">
        <f t="shared" si="77"/>
        <v>0.36</v>
      </c>
      <c r="G331" s="70">
        <f t="shared" si="78"/>
        <v>32.75266188869202</v>
      </c>
      <c r="H331" s="64">
        <f t="shared" si="73"/>
        <v>0.01637633094434601</v>
      </c>
    </row>
    <row r="332" spans="1:8" ht="12.75">
      <c r="A332" s="93" t="str">
        <f t="shared" si="74"/>
        <v>Jul</v>
      </c>
      <c r="B332" s="61">
        <f t="shared" si="75"/>
        <v>100.97626676745595</v>
      </c>
      <c r="C332" s="62">
        <f t="shared" si="76"/>
        <v>0.1</v>
      </c>
      <c r="D332" s="61">
        <f t="shared" si="71"/>
        <v>909.7961635747781</v>
      </c>
      <c r="E332" s="61">
        <f t="shared" si="72"/>
        <v>90.97961635747782</v>
      </c>
      <c r="F332" s="63">
        <f t="shared" si="77"/>
        <v>0.36</v>
      </c>
      <c r="G332" s="70">
        <f t="shared" si="78"/>
        <v>32.75266188869202</v>
      </c>
      <c r="H332" s="64">
        <f t="shared" si="73"/>
        <v>0.01637633094434601</v>
      </c>
    </row>
    <row r="333" spans="1:8" ht="12.75">
      <c r="A333" s="93" t="str">
        <f t="shared" si="74"/>
        <v>Aug</v>
      </c>
      <c r="B333" s="61">
        <f t="shared" si="75"/>
        <v>0</v>
      </c>
      <c r="C333" s="62">
        <f t="shared" si="76"/>
        <v>0.1</v>
      </c>
      <c r="D333" s="61">
        <f t="shared" si="71"/>
        <v>0</v>
      </c>
      <c r="E333" s="61">
        <f t="shared" si="72"/>
        <v>0</v>
      </c>
      <c r="F333" s="63">
        <f t="shared" si="77"/>
        <v>0.36</v>
      </c>
      <c r="G333" s="70">
        <f t="shared" si="78"/>
        <v>0</v>
      </c>
      <c r="H333" s="64">
        <f t="shared" si="73"/>
        <v>0</v>
      </c>
    </row>
    <row r="334" spans="1:8" ht="12.75">
      <c r="A334" s="93" t="str">
        <f t="shared" si="74"/>
        <v>Sep</v>
      </c>
      <c r="B334" s="61">
        <f t="shared" si="75"/>
        <v>0</v>
      </c>
      <c r="C334" s="62">
        <f t="shared" si="76"/>
        <v>0.1</v>
      </c>
      <c r="D334" s="61">
        <f t="shared" si="71"/>
        <v>0</v>
      </c>
      <c r="E334" s="61">
        <f t="shared" si="72"/>
        <v>0</v>
      </c>
      <c r="F334" s="63">
        <f t="shared" si="77"/>
        <v>0.36</v>
      </c>
      <c r="G334" s="70">
        <f t="shared" si="78"/>
        <v>0</v>
      </c>
      <c r="H334" s="64">
        <f t="shared" si="73"/>
        <v>0</v>
      </c>
    </row>
    <row r="335" spans="1:8" ht="12.75">
      <c r="A335" s="93" t="str">
        <f t="shared" si="74"/>
        <v>Oct</v>
      </c>
      <c r="B335" s="61">
        <f t="shared" si="75"/>
        <v>0</v>
      </c>
      <c r="C335" s="62">
        <f t="shared" si="76"/>
        <v>0.1</v>
      </c>
      <c r="D335" s="61">
        <f t="shared" si="71"/>
        <v>0</v>
      </c>
      <c r="E335" s="61">
        <f t="shared" si="72"/>
        <v>0</v>
      </c>
      <c r="F335" s="63">
        <f t="shared" si="77"/>
        <v>0.36</v>
      </c>
      <c r="G335" s="70">
        <f t="shared" si="78"/>
        <v>0</v>
      </c>
      <c r="H335" s="64">
        <f t="shared" si="73"/>
        <v>0</v>
      </c>
    </row>
    <row r="336" spans="1:8" ht="12.75">
      <c r="A336" s="93" t="str">
        <f t="shared" si="74"/>
        <v>Nov</v>
      </c>
      <c r="B336" s="61">
        <f t="shared" si="75"/>
        <v>0</v>
      </c>
      <c r="C336" s="62">
        <f t="shared" si="76"/>
        <v>0.1</v>
      </c>
      <c r="D336" s="61">
        <f t="shared" si="71"/>
        <v>0</v>
      </c>
      <c r="E336" s="61">
        <f t="shared" si="72"/>
        <v>0</v>
      </c>
      <c r="F336" s="63">
        <f t="shared" si="77"/>
        <v>0.36</v>
      </c>
      <c r="G336" s="70">
        <f t="shared" si="78"/>
        <v>0</v>
      </c>
      <c r="H336" s="64">
        <f t="shared" si="73"/>
        <v>0</v>
      </c>
    </row>
    <row r="337" spans="1:8" ht="13.5" thickBot="1">
      <c r="A337" s="93" t="str">
        <f>A318</f>
        <v>Dec</v>
      </c>
      <c r="B337" s="61">
        <f t="shared" si="75"/>
        <v>0</v>
      </c>
      <c r="C337" s="62">
        <f t="shared" si="76"/>
        <v>0.1</v>
      </c>
      <c r="D337" s="61">
        <f t="shared" si="71"/>
        <v>0</v>
      </c>
      <c r="E337" s="61">
        <f t="shared" si="72"/>
        <v>0</v>
      </c>
      <c r="F337" s="63">
        <f t="shared" si="77"/>
        <v>0.36</v>
      </c>
      <c r="G337" s="70">
        <f t="shared" si="78"/>
        <v>0</v>
      </c>
      <c r="H337" s="64">
        <f t="shared" si="73"/>
        <v>0</v>
      </c>
    </row>
    <row r="338" spans="1:8" ht="13.5" thickBot="1">
      <c r="A338" s="54" t="s">
        <v>11</v>
      </c>
      <c r="B338" s="68">
        <f>SUM(B326:B337)</f>
        <v>620.2827815715151</v>
      </c>
      <c r="C338" s="68"/>
      <c r="D338" s="68">
        <f>SUM(D326:D337)</f>
        <v>5588.74786195935</v>
      </c>
      <c r="E338" s="68">
        <f>SUM(E326:E337)</f>
        <v>558.8747861959353</v>
      </c>
      <c r="F338" s="68"/>
      <c r="G338" s="219">
        <f>SUM(G326:G337)</f>
        <v>201.19492303053664</v>
      </c>
      <c r="H338" s="69">
        <f>SUM(H326:H337)</f>
        <v>0.10059746151526833</v>
      </c>
    </row>
    <row r="339" spans="1:8" ht="12.75">
      <c r="A339" s="33"/>
      <c r="B339" s="28"/>
      <c r="C339" s="28"/>
      <c r="D339" s="28"/>
      <c r="E339" s="28"/>
      <c r="F339" s="35"/>
      <c r="G339" s="55"/>
      <c r="H339" s="28"/>
    </row>
    <row r="340" spans="1:8" ht="12.75">
      <c r="A340" s="33"/>
      <c r="B340" s="28"/>
      <c r="C340" s="28"/>
      <c r="D340" s="28"/>
      <c r="E340" s="28"/>
      <c r="F340" s="35"/>
      <c r="G340" s="55"/>
      <c r="H340" s="28"/>
    </row>
    <row r="341" spans="3:8" ht="13.5" thickBot="1">
      <c r="C341"/>
      <c r="E341"/>
      <c r="F341"/>
      <c r="G341" s="212"/>
      <c r="H341"/>
    </row>
    <row r="342" spans="1:8" ht="13.5" thickBot="1">
      <c r="A342" s="365" t="s">
        <v>0</v>
      </c>
      <c r="B342" s="366"/>
      <c r="C342" s="366"/>
      <c r="D342" s="366"/>
      <c r="E342" s="366"/>
      <c r="F342" s="366"/>
      <c r="G342" s="366"/>
      <c r="H342" s="367"/>
    </row>
    <row r="343" spans="1:8" ht="14.25" thickBot="1" thickTop="1">
      <c r="A343" s="404" t="s">
        <v>23</v>
      </c>
      <c r="B343" s="405"/>
      <c r="C343" s="405"/>
      <c r="D343" s="405"/>
      <c r="E343" s="405"/>
      <c r="F343" s="405"/>
      <c r="G343" s="405"/>
      <c r="H343" s="406"/>
    </row>
    <row r="344" spans="1:8" ht="12.75">
      <c r="A344" s="48"/>
      <c r="B344" s="49"/>
      <c r="C344" s="49"/>
      <c r="D344" s="49"/>
      <c r="E344" s="10"/>
      <c r="F344" s="10"/>
      <c r="G344" s="220"/>
      <c r="H344" s="10"/>
    </row>
    <row r="345" spans="1:8" ht="13.5" thickBot="1">
      <c r="A345" s="364" t="s">
        <v>200</v>
      </c>
      <c r="B345" s="364"/>
      <c r="C345" s="364"/>
      <c r="D345" s="364"/>
      <c r="E345" s="364"/>
      <c r="F345" s="364"/>
      <c r="G345" s="364"/>
      <c r="H345" s="364"/>
    </row>
    <row r="346" spans="1:8" ht="24.75" thickBot="1">
      <c r="A346" s="50" t="s">
        <v>6</v>
      </c>
      <c r="B346" s="51" t="s">
        <v>7</v>
      </c>
      <c r="C346" s="51" t="s">
        <v>12</v>
      </c>
      <c r="D346" s="51" t="s">
        <v>9</v>
      </c>
      <c r="E346" s="52" t="s">
        <v>13</v>
      </c>
      <c r="F346" s="52" t="s">
        <v>3</v>
      </c>
      <c r="G346" s="217" t="s">
        <v>14</v>
      </c>
      <c r="H346" s="52" t="s">
        <v>15</v>
      </c>
    </row>
    <row r="347" spans="1:8" ht="13.5" thickBot="1">
      <c r="A347" s="359" t="s">
        <v>58</v>
      </c>
      <c r="B347" s="362"/>
      <c r="C347" s="362"/>
      <c r="D347" s="362"/>
      <c r="E347" s="362"/>
      <c r="F347" s="362"/>
      <c r="G347" s="362"/>
      <c r="H347" s="363"/>
    </row>
    <row r="348" spans="1:8" ht="12.75">
      <c r="A348" s="59"/>
      <c r="B348" s="22"/>
      <c r="C348" s="22"/>
      <c r="D348" s="22"/>
      <c r="E348" s="22"/>
      <c r="F348" s="22"/>
      <c r="G348" s="70"/>
      <c r="H348" s="60"/>
    </row>
    <row r="349" spans="1:8" ht="12.75">
      <c r="A349" s="93" t="str">
        <f>A326</f>
        <v>Jan</v>
      </c>
      <c r="B349" s="70">
        <f>B180</f>
        <v>0</v>
      </c>
      <c r="C349" s="62">
        <v>0.3</v>
      </c>
      <c r="D349" s="61">
        <f aca="true" t="shared" si="79" ref="D349:D360">B349*6.83</f>
        <v>0</v>
      </c>
      <c r="E349" s="61">
        <f aca="true" t="shared" si="80" ref="E349:E360">D349*C349</f>
        <v>0</v>
      </c>
      <c r="F349" s="63">
        <v>1</v>
      </c>
      <c r="G349" s="70">
        <f>E349*F349</f>
        <v>0</v>
      </c>
      <c r="H349" s="64">
        <f aca="true" t="shared" si="81" ref="H349:H360">G349/2000</f>
        <v>0</v>
      </c>
    </row>
    <row r="350" spans="1:8" ht="12.75">
      <c r="A350" s="93" t="str">
        <f aca="true" t="shared" si="82" ref="A350:A360">A327</f>
        <v>Feb</v>
      </c>
      <c r="B350" s="70">
        <f aca="true" t="shared" si="83" ref="B350:B360">B181</f>
        <v>0</v>
      </c>
      <c r="C350" s="62">
        <v>0.3</v>
      </c>
      <c r="D350" s="61">
        <f t="shared" si="79"/>
        <v>0</v>
      </c>
      <c r="E350" s="61">
        <f t="shared" si="80"/>
        <v>0</v>
      </c>
      <c r="F350" s="63">
        <v>1</v>
      </c>
      <c r="G350" s="70">
        <f aca="true" t="shared" si="84" ref="G350:G360">E350*F350</f>
        <v>0</v>
      </c>
      <c r="H350" s="64">
        <f t="shared" si="81"/>
        <v>0</v>
      </c>
    </row>
    <row r="351" spans="1:8" ht="12.75">
      <c r="A351" s="93" t="str">
        <f t="shared" si="82"/>
        <v>Mar</v>
      </c>
      <c r="B351" s="70">
        <f t="shared" si="83"/>
        <v>11.964627069715439</v>
      </c>
      <c r="C351" s="62">
        <v>0.3</v>
      </c>
      <c r="D351" s="61">
        <f t="shared" si="79"/>
        <v>81.71840288615645</v>
      </c>
      <c r="E351" s="61">
        <f t="shared" si="80"/>
        <v>24.515520865846934</v>
      </c>
      <c r="F351" s="63">
        <v>1</v>
      </c>
      <c r="G351" s="70">
        <f t="shared" si="84"/>
        <v>24.515520865846934</v>
      </c>
      <c r="H351" s="64">
        <f t="shared" si="81"/>
        <v>0.012257760432923467</v>
      </c>
    </row>
    <row r="352" spans="1:8" ht="12.75">
      <c r="A352" s="93" t="str">
        <f t="shared" si="82"/>
        <v>Apr</v>
      </c>
      <c r="B352" s="70">
        <f t="shared" si="83"/>
        <v>0</v>
      </c>
      <c r="C352" s="62">
        <v>0.3</v>
      </c>
      <c r="D352" s="61">
        <f t="shared" si="79"/>
        <v>0</v>
      </c>
      <c r="E352" s="61">
        <f t="shared" si="80"/>
        <v>0</v>
      </c>
      <c r="F352" s="63">
        <v>1</v>
      </c>
      <c r="G352" s="70">
        <f t="shared" si="84"/>
        <v>0</v>
      </c>
      <c r="H352" s="64">
        <f t="shared" si="81"/>
        <v>0</v>
      </c>
    </row>
    <row r="353" spans="1:8" ht="12.75">
      <c r="A353" s="93" t="str">
        <f t="shared" si="82"/>
        <v>May</v>
      </c>
      <c r="B353" s="70">
        <f t="shared" si="83"/>
        <v>6.526160219844785</v>
      </c>
      <c r="C353" s="62">
        <v>0.3</v>
      </c>
      <c r="D353" s="61">
        <f t="shared" si="79"/>
        <v>44.57367430153988</v>
      </c>
      <c r="E353" s="61">
        <f t="shared" si="80"/>
        <v>13.372102290461964</v>
      </c>
      <c r="F353" s="63">
        <v>1</v>
      </c>
      <c r="G353" s="70">
        <f t="shared" si="84"/>
        <v>13.372102290461964</v>
      </c>
      <c r="H353" s="64">
        <f t="shared" si="81"/>
        <v>0.006686051145230982</v>
      </c>
    </row>
    <row r="354" spans="1:8" ht="12.75">
      <c r="A354" s="93" t="str">
        <f t="shared" si="82"/>
        <v>Jun</v>
      </c>
      <c r="B354" s="70">
        <f t="shared" si="83"/>
        <v>5.438466849870654</v>
      </c>
      <c r="C354" s="62">
        <v>0.3</v>
      </c>
      <c r="D354" s="61">
        <f t="shared" si="79"/>
        <v>37.144728584616566</v>
      </c>
      <c r="E354" s="61">
        <f t="shared" si="80"/>
        <v>11.143418575384969</v>
      </c>
      <c r="F354" s="63">
        <v>1</v>
      </c>
      <c r="G354" s="70">
        <f t="shared" si="84"/>
        <v>11.143418575384969</v>
      </c>
      <c r="H354" s="64">
        <f t="shared" si="81"/>
        <v>0.005571709287692485</v>
      </c>
    </row>
    <row r="355" spans="1:8" ht="12.75">
      <c r="A355" s="93" t="str">
        <f t="shared" si="82"/>
        <v>Jul</v>
      </c>
      <c r="B355" s="70">
        <f t="shared" si="83"/>
        <v>5.438466849870654</v>
      </c>
      <c r="C355" s="62">
        <v>0.3</v>
      </c>
      <c r="D355" s="61">
        <f t="shared" si="79"/>
        <v>37.144728584616566</v>
      </c>
      <c r="E355" s="61">
        <f t="shared" si="80"/>
        <v>11.143418575384969</v>
      </c>
      <c r="F355" s="63">
        <v>1</v>
      </c>
      <c r="G355" s="70">
        <f t="shared" si="84"/>
        <v>11.143418575384969</v>
      </c>
      <c r="H355" s="64">
        <f t="shared" si="81"/>
        <v>0.005571709287692485</v>
      </c>
    </row>
    <row r="356" spans="1:8" ht="12.75">
      <c r="A356" s="93" t="str">
        <f t="shared" si="82"/>
        <v>Aug</v>
      </c>
      <c r="B356" s="70">
        <f t="shared" si="83"/>
        <v>0</v>
      </c>
      <c r="C356" s="62">
        <v>0.3</v>
      </c>
      <c r="D356" s="61">
        <f t="shared" si="79"/>
        <v>0</v>
      </c>
      <c r="E356" s="61">
        <f t="shared" si="80"/>
        <v>0</v>
      </c>
      <c r="F356" s="63">
        <v>1</v>
      </c>
      <c r="G356" s="70">
        <f t="shared" si="84"/>
        <v>0</v>
      </c>
      <c r="H356" s="64">
        <f t="shared" si="81"/>
        <v>0</v>
      </c>
    </row>
    <row r="357" spans="1:8" ht="12.75">
      <c r="A357" s="93" t="str">
        <f t="shared" si="82"/>
        <v>Sep</v>
      </c>
      <c r="B357" s="70">
        <f t="shared" si="83"/>
        <v>0</v>
      </c>
      <c r="C357" s="62">
        <v>0.3</v>
      </c>
      <c r="D357" s="61">
        <f t="shared" si="79"/>
        <v>0</v>
      </c>
      <c r="E357" s="61">
        <f t="shared" si="80"/>
        <v>0</v>
      </c>
      <c r="F357" s="63">
        <v>1</v>
      </c>
      <c r="G357" s="70">
        <f t="shared" si="84"/>
        <v>0</v>
      </c>
      <c r="H357" s="64">
        <f t="shared" si="81"/>
        <v>0</v>
      </c>
    </row>
    <row r="358" spans="1:8" ht="12.75">
      <c r="A358" s="93" t="str">
        <f t="shared" si="82"/>
        <v>Oct</v>
      </c>
      <c r="B358" s="70">
        <f t="shared" si="83"/>
        <v>0</v>
      </c>
      <c r="C358" s="62">
        <v>0.3</v>
      </c>
      <c r="D358" s="61">
        <f t="shared" si="79"/>
        <v>0</v>
      </c>
      <c r="E358" s="61">
        <f t="shared" si="80"/>
        <v>0</v>
      </c>
      <c r="F358" s="63">
        <v>1</v>
      </c>
      <c r="G358" s="70">
        <f t="shared" si="84"/>
        <v>0</v>
      </c>
      <c r="H358" s="64">
        <f t="shared" si="81"/>
        <v>0</v>
      </c>
    </row>
    <row r="359" spans="1:8" ht="12.75">
      <c r="A359" s="93" t="str">
        <f t="shared" si="82"/>
        <v>Nov</v>
      </c>
      <c r="B359" s="70">
        <f t="shared" si="83"/>
        <v>0</v>
      </c>
      <c r="C359" s="62">
        <v>0.3</v>
      </c>
      <c r="D359" s="61">
        <f t="shared" si="79"/>
        <v>0</v>
      </c>
      <c r="E359" s="61">
        <f t="shared" si="80"/>
        <v>0</v>
      </c>
      <c r="F359" s="63">
        <v>1</v>
      </c>
      <c r="G359" s="70">
        <f t="shared" si="84"/>
        <v>0</v>
      </c>
      <c r="H359" s="64">
        <f t="shared" si="81"/>
        <v>0</v>
      </c>
    </row>
    <row r="360" spans="1:8" ht="13.5" thickBot="1">
      <c r="A360" s="93" t="str">
        <f t="shared" si="82"/>
        <v>Dec</v>
      </c>
      <c r="B360" s="70">
        <f t="shared" si="83"/>
        <v>0</v>
      </c>
      <c r="C360" s="62">
        <v>0.3</v>
      </c>
      <c r="D360" s="61">
        <f t="shared" si="79"/>
        <v>0</v>
      </c>
      <c r="E360" s="61">
        <f t="shared" si="80"/>
        <v>0</v>
      </c>
      <c r="F360" s="63">
        <v>1</v>
      </c>
      <c r="G360" s="70">
        <f t="shared" si="84"/>
        <v>0</v>
      </c>
      <c r="H360" s="64">
        <f t="shared" si="81"/>
        <v>0</v>
      </c>
    </row>
    <row r="361" spans="1:8" ht="13.5" thickBot="1">
      <c r="A361" s="54" t="s">
        <v>11</v>
      </c>
      <c r="B361" s="68">
        <f>SUM(B349:B360)</f>
        <v>29.36772098930153</v>
      </c>
      <c r="C361" s="68"/>
      <c r="D361" s="68">
        <f>SUM(D349:D360)</f>
        <v>200.58153435692947</v>
      </c>
      <c r="E361" s="68">
        <f>SUM(E349:E360)</f>
        <v>60.17446030707884</v>
      </c>
      <c r="F361" s="68"/>
      <c r="G361" s="219">
        <f>SUM(G349:G360)</f>
        <v>60.17446030707884</v>
      </c>
      <c r="H361" s="69">
        <f>SUM(H349:H360)</f>
        <v>0.03008723015353942</v>
      </c>
    </row>
    <row r="362" spans="1:8" ht="12.75">
      <c r="A362" s="21"/>
      <c r="B362" s="7"/>
      <c r="C362" s="7"/>
      <c r="D362" s="7"/>
      <c r="E362" s="7"/>
      <c r="F362" s="7"/>
      <c r="G362" s="13"/>
      <c r="H362" s="7"/>
    </row>
    <row r="363" spans="1:8" ht="12.75">
      <c r="A363" s="21"/>
      <c r="B363" s="7"/>
      <c r="C363" s="7"/>
      <c r="D363" s="7"/>
      <c r="E363" s="7"/>
      <c r="F363" s="7"/>
      <c r="G363" s="13"/>
      <c r="H363" s="7"/>
    </row>
    <row r="364" spans="1:8" ht="12.75">
      <c r="A364" s="21"/>
      <c r="B364" s="7"/>
      <c r="C364" s="7"/>
      <c r="D364" s="7"/>
      <c r="E364" s="7"/>
      <c r="F364" s="7"/>
      <c r="G364" s="13"/>
      <c r="H364" s="7"/>
    </row>
    <row r="365" spans="1:8" ht="13.5" thickBot="1">
      <c r="A365" s="364" t="s">
        <v>201</v>
      </c>
      <c r="B365" s="364"/>
      <c r="C365" s="364"/>
      <c r="D365" s="364"/>
      <c r="E365" s="364"/>
      <c r="F365" s="364"/>
      <c r="G365" s="364"/>
      <c r="H365" s="364"/>
    </row>
    <row r="366" spans="1:8" ht="24.75" thickBot="1">
      <c r="A366" s="50" t="s">
        <v>6</v>
      </c>
      <c r="B366" s="51" t="s">
        <v>7</v>
      </c>
      <c r="C366" s="51" t="s">
        <v>12</v>
      </c>
      <c r="D366" s="51" t="s">
        <v>9</v>
      </c>
      <c r="E366" s="52" t="s">
        <v>13</v>
      </c>
      <c r="F366" s="52" t="s">
        <v>3</v>
      </c>
      <c r="G366" s="217" t="s">
        <v>14</v>
      </c>
      <c r="H366" s="52" t="s">
        <v>15</v>
      </c>
    </row>
    <row r="367" spans="1:8" ht="13.5" thickBot="1">
      <c r="A367" s="359" t="s">
        <v>58</v>
      </c>
      <c r="B367" s="362"/>
      <c r="C367" s="362"/>
      <c r="D367" s="362"/>
      <c r="E367" s="362"/>
      <c r="F367" s="362"/>
      <c r="G367" s="362"/>
      <c r="H367" s="363"/>
    </row>
    <row r="368" spans="1:8" ht="12.75">
      <c r="A368" s="59"/>
      <c r="B368" s="22"/>
      <c r="C368" s="22"/>
      <c r="D368" s="22"/>
      <c r="E368" s="22"/>
      <c r="F368" s="22"/>
      <c r="G368" s="70"/>
      <c r="H368" s="60"/>
    </row>
    <row r="369" spans="1:8" ht="12.75">
      <c r="A369" s="93" t="str">
        <f>A349</f>
        <v>Jan</v>
      </c>
      <c r="B369" s="70">
        <f>B198</f>
        <v>0</v>
      </c>
      <c r="C369" s="62">
        <f>C349</f>
        <v>0.3</v>
      </c>
      <c r="D369" s="61">
        <f aca="true" t="shared" si="85" ref="D369:D380">B369*6.83</f>
        <v>0</v>
      </c>
      <c r="E369" s="61">
        <f aca="true" t="shared" si="86" ref="E369:E380">D369*C369</f>
        <v>0</v>
      </c>
      <c r="F369" s="63">
        <v>1</v>
      </c>
      <c r="G369" s="70">
        <f>E369*F369</f>
        <v>0</v>
      </c>
      <c r="H369" s="64">
        <f aca="true" t="shared" si="87" ref="H369:H380">G369/2000</f>
        <v>0</v>
      </c>
    </row>
    <row r="370" spans="1:8" ht="12.75">
      <c r="A370" s="93" t="str">
        <f aca="true" t="shared" si="88" ref="A370:A379">A350</f>
        <v>Feb</v>
      </c>
      <c r="B370" s="70">
        <f aca="true" t="shared" si="89" ref="B370:B380">B199</f>
        <v>0</v>
      </c>
      <c r="C370" s="62">
        <f aca="true" t="shared" si="90" ref="C370:C380">C350</f>
        <v>0.3</v>
      </c>
      <c r="D370" s="61">
        <f t="shared" si="85"/>
        <v>0</v>
      </c>
      <c r="E370" s="61">
        <f t="shared" si="86"/>
        <v>0</v>
      </c>
      <c r="F370" s="63">
        <v>1</v>
      </c>
      <c r="G370" s="70">
        <f aca="true" t="shared" si="91" ref="G370:G380">E370*F370</f>
        <v>0</v>
      </c>
      <c r="H370" s="64">
        <f t="shared" si="87"/>
        <v>0</v>
      </c>
    </row>
    <row r="371" spans="1:8" ht="12.75">
      <c r="A371" s="93" t="str">
        <f t="shared" si="88"/>
        <v>Mar</v>
      </c>
      <c r="B371" s="70">
        <f t="shared" si="89"/>
        <v>28.610191963505134</v>
      </c>
      <c r="C371" s="62">
        <f t="shared" si="90"/>
        <v>0.3</v>
      </c>
      <c r="D371" s="61">
        <f t="shared" si="85"/>
        <v>195.40761111074008</v>
      </c>
      <c r="E371" s="61">
        <f t="shared" si="86"/>
        <v>58.62228333322202</v>
      </c>
      <c r="F371" s="63">
        <v>1</v>
      </c>
      <c r="G371" s="70">
        <f t="shared" si="91"/>
        <v>58.62228333322202</v>
      </c>
      <c r="H371" s="64">
        <f t="shared" si="87"/>
        <v>0.029311141666611012</v>
      </c>
    </row>
    <row r="372" spans="1:8" ht="12.75">
      <c r="A372" s="93" t="str">
        <f t="shared" si="88"/>
        <v>Apr</v>
      </c>
      <c r="B372" s="70">
        <f t="shared" si="89"/>
        <v>0</v>
      </c>
      <c r="C372" s="62">
        <f t="shared" si="90"/>
        <v>0.3</v>
      </c>
      <c r="D372" s="61">
        <f t="shared" si="85"/>
        <v>0</v>
      </c>
      <c r="E372" s="61">
        <f t="shared" si="86"/>
        <v>0</v>
      </c>
      <c r="F372" s="63">
        <v>1</v>
      </c>
      <c r="G372" s="70">
        <f t="shared" si="91"/>
        <v>0</v>
      </c>
      <c r="H372" s="64">
        <f t="shared" si="87"/>
        <v>0</v>
      </c>
    </row>
    <row r="373" spans="1:8" ht="12.75">
      <c r="A373" s="93" t="str">
        <f t="shared" si="88"/>
        <v>May</v>
      </c>
      <c r="B373" s="70">
        <f t="shared" si="89"/>
        <v>15.605559252820983</v>
      </c>
      <c r="C373" s="62">
        <f t="shared" si="90"/>
        <v>0.3</v>
      </c>
      <c r="D373" s="61">
        <f t="shared" si="85"/>
        <v>106.58596969676732</v>
      </c>
      <c r="E373" s="61">
        <f t="shared" si="86"/>
        <v>31.975790909030195</v>
      </c>
      <c r="F373" s="63">
        <v>1</v>
      </c>
      <c r="G373" s="70">
        <f t="shared" si="91"/>
        <v>31.975790909030195</v>
      </c>
      <c r="H373" s="64">
        <f t="shared" si="87"/>
        <v>0.015987895454515098</v>
      </c>
    </row>
    <row r="374" spans="1:8" ht="12.75">
      <c r="A374" s="93" t="str">
        <f t="shared" si="88"/>
        <v>Jun</v>
      </c>
      <c r="B374" s="70">
        <f t="shared" si="89"/>
        <v>13.004632710684152</v>
      </c>
      <c r="C374" s="62">
        <f t="shared" si="90"/>
        <v>0.3</v>
      </c>
      <c r="D374" s="61">
        <f t="shared" si="85"/>
        <v>88.82164141397276</v>
      </c>
      <c r="E374" s="61">
        <f t="shared" si="86"/>
        <v>26.646492424191827</v>
      </c>
      <c r="F374" s="63">
        <v>1</v>
      </c>
      <c r="G374" s="70">
        <f t="shared" si="91"/>
        <v>26.646492424191827</v>
      </c>
      <c r="H374" s="64">
        <f t="shared" si="87"/>
        <v>0.013323246212095914</v>
      </c>
    </row>
    <row r="375" spans="1:8" ht="12.75">
      <c r="A375" s="93" t="str">
        <f t="shared" si="88"/>
        <v>Jul</v>
      </c>
      <c r="B375" s="70">
        <f t="shared" si="89"/>
        <v>13.004632710684152</v>
      </c>
      <c r="C375" s="62">
        <f t="shared" si="90"/>
        <v>0.3</v>
      </c>
      <c r="D375" s="61">
        <f t="shared" si="85"/>
        <v>88.82164141397276</v>
      </c>
      <c r="E375" s="61">
        <f t="shared" si="86"/>
        <v>26.646492424191827</v>
      </c>
      <c r="F375" s="63">
        <v>1</v>
      </c>
      <c r="G375" s="70">
        <f t="shared" si="91"/>
        <v>26.646492424191827</v>
      </c>
      <c r="H375" s="64">
        <f t="shared" si="87"/>
        <v>0.013323246212095914</v>
      </c>
    </row>
    <row r="376" spans="1:8" ht="12.75">
      <c r="A376" s="93" t="str">
        <f t="shared" si="88"/>
        <v>Aug</v>
      </c>
      <c r="B376" s="70">
        <f t="shared" si="89"/>
        <v>0</v>
      </c>
      <c r="C376" s="62">
        <f t="shared" si="90"/>
        <v>0.3</v>
      </c>
      <c r="D376" s="61">
        <f t="shared" si="85"/>
        <v>0</v>
      </c>
      <c r="E376" s="61">
        <f t="shared" si="86"/>
        <v>0</v>
      </c>
      <c r="F376" s="63">
        <v>1</v>
      </c>
      <c r="G376" s="70">
        <f t="shared" si="91"/>
        <v>0</v>
      </c>
      <c r="H376" s="64">
        <f t="shared" si="87"/>
        <v>0</v>
      </c>
    </row>
    <row r="377" spans="1:8" ht="12.75">
      <c r="A377" s="93" t="str">
        <f t="shared" si="88"/>
        <v>Sep</v>
      </c>
      <c r="B377" s="70">
        <f t="shared" si="89"/>
        <v>0</v>
      </c>
      <c r="C377" s="62">
        <f t="shared" si="90"/>
        <v>0.3</v>
      </c>
      <c r="D377" s="61">
        <f t="shared" si="85"/>
        <v>0</v>
      </c>
      <c r="E377" s="61">
        <f t="shared" si="86"/>
        <v>0</v>
      </c>
      <c r="F377" s="63">
        <v>1</v>
      </c>
      <c r="G377" s="70">
        <f t="shared" si="91"/>
        <v>0</v>
      </c>
      <c r="H377" s="64">
        <f t="shared" si="87"/>
        <v>0</v>
      </c>
    </row>
    <row r="378" spans="1:8" ht="12.75">
      <c r="A378" s="93" t="str">
        <f t="shared" si="88"/>
        <v>Oct</v>
      </c>
      <c r="B378" s="70">
        <f t="shared" si="89"/>
        <v>0</v>
      </c>
      <c r="C378" s="62">
        <f t="shared" si="90"/>
        <v>0.3</v>
      </c>
      <c r="D378" s="61">
        <f t="shared" si="85"/>
        <v>0</v>
      </c>
      <c r="E378" s="61">
        <f t="shared" si="86"/>
        <v>0</v>
      </c>
      <c r="F378" s="63">
        <v>1</v>
      </c>
      <c r="G378" s="70">
        <f t="shared" si="91"/>
        <v>0</v>
      </c>
      <c r="H378" s="64">
        <f t="shared" si="87"/>
        <v>0</v>
      </c>
    </row>
    <row r="379" spans="1:8" ht="12.75">
      <c r="A379" s="93" t="str">
        <f t="shared" si="88"/>
        <v>Nov</v>
      </c>
      <c r="B379" s="70">
        <f t="shared" si="89"/>
        <v>0</v>
      </c>
      <c r="C379" s="62">
        <f t="shared" si="90"/>
        <v>0.3</v>
      </c>
      <c r="D379" s="61">
        <f t="shared" si="85"/>
        <v>0</v>
      </c>
      <c r="E379" s="61">
        <f t="shared" si="86"/>
        <v>0</v>
      </c>
      <c r="F379" s="63">
        <v>1</v>
      </c>
      <c r="G379" s="70">
        <f t="shared" si="91"/>
        <v>0</v>
      </c>
      <c r="H379" s="64">
        <f t="shared" si="87"/>
        <v>0</v>
      </c>
    </row>
    <row r="380" spans="1:8" ht="13.5" thickBot="1">
      <c r="A380" s="93" t="str">
        <f>A360</f>
        <v>Dec</v>
      </c>
      <c r="B380" s="70">
        <f t="shared" si="89"/>
        <v>0</v>
      </c>
      <c r="C380" s="62">
        <f t="shared" si="90"/>
        <v>0.3</v>
      </c>
      <c r="D380" s="61">
        <f t="shared" si="85"/>
        <v>0</v>
      </c>
      <c r="E380" s="61">
        <f t="shared" si="86"/>
        <v>0</v>
      </c>
      <c r="F380" s="63">
        <v>1</v>
      </c>
      <c r="G380" s="70">
        <f t="shared" si="91"/>
        <v>0</v>
      </c>
      <c r="H380" s="64">
        <f t="shared" si="87"/>
        <v>0</v>
      </c>
    </row>
    <row r="381" spans="1:8" ht="13.5" thickBot="1">
      <c r="A381" s="54" t="s">
        <v>11</v>
      </c>
      <c r="B381" s="68">
        <f>SUM(B369:B380)</f>
        <v>70.22501663769442</v>
      </c>
      <c r="C381" s="68"/>
      <c r="D381" s="68">
        <f>SUM(D369:D380)</f>
        <v>479.6368636354529</v>
      </c>
      <c r="E381" s="68">
        <f>SUM(E369:E380)</f>
        <v>143.89105909063585</v>
      </c>
      <c r="F381" s="68"/>
      <c r="G381" s="219">
        <f>SUM(G369:G380)</f>
        <v>143.89105909063585</v>
      </c>
      <c r="H381" s="69">
        <f>SUM(H369:H380)</f>
        <v>0.07194552954531794</v>
      </c>
    </row>
    <row r="382" spans="1:8" ht="12.75">
      <c r="A382" s="21"/>
      <c r="B382" s="7"/>
      <c r="C382" s="7"/>
      <c r="D382" s="7"/>
      <c r="E382" s="7"/>
      <c r="F382" s="7"/>
      <c r="G382" s="13"/>
      <c r="H382" s="7"/>
    </row>
    <row r="383" spans="1:8" ht="12.75">
      <c r="A383" s="21"/>
      <c r="B383" s="7"/>
      <c r="C383" s="7"/>
      <c r="D383" s="7"/>
      <c r="E383" s="7"/>
      <c r="F383" s="7"/>
      <c r="G383" s="13"/>
      <c r="H383" s="7"/>
    </row>
    <row r="384" spans="1:8" ht="12.75">
      <c r="A384" s="21"/>
      <c r="B384" s="7"/>
      <c r="C384" s="7"/>
      <c r="D384" s="7"/>
      <c r="E384" s="7"/>
      <c r="F384" s="7"/>
      <c r="G384" s="13"/>
      <c r="H384" s="7"/>
    </row>
    <row r="385" spans="1:8" ht="13.5" thickBot="1">
      <c r="A385" s="364" t="s">
        <v>202</v>
      </c>
      <c r="B385" s="364"/>
      <c r="C385" s="364"/>
      <c r="D385" s="364"/>
      <c r="E385" s="364"/>
      <c r="F385" s="364"/>
      <c r="G385" s="364"/>
      <c r="H385" s="364"/>
    </row>
    <row r="386" spans="1:8" ht="24.75" thickBot="1">
      <c r="A386" s="50" t="s">
        <v>6</v>
      </c>
      <c r="B386" s="51" t="s">
        <v>7</v>
      </c>
      <c r="C386" s="51" t="s">
        <v>12</v>
      </c>
      <c r="D386" s="51" t="s">
        <v>9</v>
      </c>
      <c r="E386" s="52" t="s">
        <v>13</v>
      </c>
      <c r="F386" s="52" t="s">
        <v>3</v>
      </c>
      <c r="G386" s="217" t="s">
        <v>14</v>
      </c>
      <c r="H386" s="52" t="s">
        <v>15</v>
      </c>
    </row>
    <row r="387" spans="1:8" ht="13.5" thickBot="1">
      <c r="A387" s="359" t="s">
        <v>58</v>
      </c>
      <c r="B387" s="362"/>
      <c r="C387" s="362"/>
      <c r="D387" s="362"/>
      <c r="E387" s="362"/>
      <c r="F387" s="362"/>
      <c r="G387" s="362"/>
      <c r="H387" s="363"/>
    </row>
    <row r="388" spans="1:8" ht="12.75">
      <c r="A388" s="59"/>
      <c r="B388" s="22"/>
      <c r="C388" s="22"/>
      <c r="D388" s="22"/>
      <c r="E388" s="22"/>
      <c r="F388" s="22"/>
      <c r="G388" s="70"/>
      <c r="H388" s="60"/>
    </row>
    <row r="389" spans="1:8" ht="12.75">
      <c r="A389" s="93" t="str">
        <f>A369</f>
        <v>Jan</v>
      </c>
      <c r="B389" s="70">
        <f>B215</f>
        <v>0</v>
      </c>
      <c r="C389" s="62">
        <f>C369</f>
        <v>0.3</v>
      </c>
      <c r="D389" s="61">
        <f aca="true" t="shared" si="92" ref="D389:D400">B389*6.83</f>
        <v>0</v>
      </c>
      <c r="E389" s="61">
        <f aca="true" t="shared" si="93" ref="E389:E400">D389*C389</f>
        <v>0</v>
      </c>
      <c r="F389" s="63">
        <f>F369</f>
        <v>1</v>
      </c>
      <c r="G389" s="70">
        <f>E389*F389</f>
        <v>0</v>
      </c>
      <c r="H389" s="64">
        <f aca="true" t="shared" si="94" ref="H389:H400">G389/2000</f>
        <v>0</v>
      </c>
    </row>
    <row r="390" spans="1:8" ht="12.75">
      <c r="A390" s="93" t="str">
        <f aca="true" t="shared" si="95" ref="A390:A400">A370</f>
        <v>Feb</v>
      </c>
      <c r="B390" s="70">
        <f aca="true" t="shared" si="96" ref="B390:B400">B216</f>
        <v>0</v>
      </c>
      <c r="C390" s="62">
        <f aca="true" t="shared" si="97" ref="C390:C400">C370</f>
        <v>0.3</v>
      </c>
      <c r="D390" s="61">
        <f t="shared" si="92"/>
        <v>0</v>
      </c>
      <c r="E390" s="61">
        <f t="shared" si="93"/>
        <v>0</v>
      </c>
      <c r="F390" s="63">
        <f aca="true" t="shared" si="98" ref="F390:F400">F370</f>
        <v>1</v>
      </c>
      <c r="G390" s="70">
        <f aca="true" t="shared" si="99" ref="G390:G400">E390*F390</f>
        <v>0</v>
      </c>
      <c r="H390" s="64">
        <f t="shared" si="94"/>
        <v>0</v>
      </c>
    </row>
    <row r="391" spans="1:8" ht="12.75">
      <c r="A391" s="93" t="str">
        <f t="shared" si="95"/>
        <v>Mar</v>
      </c>
      <c r="B391" s="70">
        <f t="shared" si="96"/>
        <v>14.425180966779422</v>
      </c>
      <c r="C391" s="62">
        <f t="shared" si="97"/>
        <v>0.3</v>
      </c>
      <c r="D391" s="61">
        <f t="shared" si="92"/>
        <v>98.52398600310346</v>
      </c>
      <c r="E391" s="61">
        <f t="shared" si="93"/>
        <v>29.557195800931037</v>
      </c>
      <c r="F391" s="63">
        <f t="shared" si="98"/>
        <v>1</v>
      </c>
      <c r="G391" s="70">
        <f t="shared" si="99"/>
        <v>29.557195800931037</v>
      </c>
      <c r="H391" s="64">
        <f t="shared" si="94"/>
        <v>0.014778597900465519</v>
      </c>
    </row>
    <row r="392" spans="1:8" ht="12.75">
      <c r="A392" s="93" t="str">
        <f t="shared" si="95"/>
        <v>Apr</v>
      </c>
      <c r="B392" s="70">
        <f t="shared" si="96"/>
        <v>0</v>
      </c>
      <c r="C392" s="62">
        <f t="shared" si="97"/>
        <v>0.3</v>
      </c>
      <c r="D392" s="61">
        <f t="shared" si="92"/>
        <v>0</v>
      </c>
      <c r="E392" s="61">
        <f t="shared" si="93"/>
        <v>0</v>
      </c>
      <c r="F392" s="63">
        <f t="shared" si="98"/>
        <v>1</v>
      </c>
      <c r="G392" s="70">
        <f t="shared" si="99"/>
        <v>0</v>
      </c>
      <c r="H392" s="64">
        <f t="shared" si="94"/>
        <v>0</v>
      </c>
    </row>
    <row r="393" spans="1:8" ht="12.75">
      <c r="A393" s="93" t="str">
        <f t="shared" si="95"/>
        <v>May</v>
      </c>
      <c r="B393" s="70">
        <f t="shared" si="96"/>
        <v>7.86828052733423</v>
      </c>
      <c r="C393" s="62">
        <f t="shared" si="97"/>
        <v>0.3</v>
      </c>
      <c r="D393" s="61">
        <f t="shared" si="92"/>
        <v>53.74035600169279</v>
      </c>
      <c r="E393" s="61">
        <f t="shared" si="93"/>
        <v>16.122106800507837</v>
      </c>
      <c r="F393" s="63">
        <f t="shared" si="98"/>
        <v>1</v>
      </c>
      <c r="G393" s="70">
        <f t="shared" si="99"/>
        <v>16.122106800507837</v>
      </c>
      <c r="H393" s="64">
        <f t="shared" si="94"/>
        <v>0.008061053400253919</v>
      </c>
    </row>
    <row r="394" spans="1:8" ht="12.75">
      <c r="A394" s="93" t="str">
        <f t="shared" si="95"/>
        <v>Jun</v>
      </c>
      <c r="B394" s="70">
        <f t="shared" si="96"/>
        <v>6.556900439445192</v>
      </c>
      <c r="C394" s="62">
        <f t="shared" si="97"/>
        <v>0.3</v>
      </c>
      <c r="D394" s="61">
        <f t="shared" si="92"/>
        <v>44.783630001410664</v>
      </c>
      <c r="E394" s="61">
        <f t="shared" si="93"/>
        <v>13.435089000423199</v>
      </c>
      <c r="F394" s="63">
        <f t="shared" si="98"/>
        <v>1</v>
      </c>
      <c r="G394" s="70">
        <f t="shared" si="99"/>
        <v>13.435089000423199</v>
      </c>
      <c r="H394" s="64">
        <f t="shared" si="94"/>
        <v>0.006717544500211599</v>
      </c>
    </row>
    <row r="395" spans="1:8" ht="12.75">
      <c r="A395" s="93" t="str">
        <f t="shared" si="95"/>
        <v>Jul</v>
      </c>
      <c r="B395" s="70">
        <f t="shared" si="96"/>
        <v>6.556900439445192</v>
      </c>
      <c r="C395" s="62">
        <f t="shared" si="97"/>
        <v>0.3</v>
      </c>
      <c r="D395" s="61">
        <f t="shared" si="92"/>
        <v>44.783630001410664</v>
      </c>
      <c r="E395" s="61">
        <f t="shared" si="93"/>
        <v>13.435089000423199</v>
      </c>
      <c r="F395" s="63">
        <f t="shared" si="98"/>
        <v>1</v>
      </c>
      <c r="G395" s="70">
        <f t="shared" si="99"/>
        <v>13.435089000423199</v>
      </c>
      <c r="H395" s="64">
        <f t="shared" si="94"/>
        <v>0.006717544500211599</v>
      </c>
    </row>
    <row r="396" spans="1:8" ht="12.75">
      <c r="A396" s="93" t="str">
        <f t="shared" si="95"/>
        <v>Aug</v>
      </c>
      <c r="B396" s="70">
        <f t="shared" si="96"/>
        <v>0</v>
      </c>
      <c r="C396" s="62">
        <f t="shared" si="97"/>
        <v>0.3</v>
      </c>
      <c r="D396" s="61">
        <f t="shared" si="92"/>
        <v>0</v>
      </c>
      <c r="E396" s="61">
        <f t="shared" si="93"/>
        <v>0</v>
      </c>
      <c r="F396" s="63">
        <f t="shared" si="98"/>
        <v>1</v>
      </c>
      <c r="G396" s="70">
        <f t="shared" si="99"/>
        <v>0</v>
      </c>
      <c r="H396" s="64">
        <f t="shared" si="94"/>
        <v>0</v>
      </c>
    </row>
    <row r="397" spans="1:8" ht="12.75">
      <c r="A397" s="93" t="str">
        <f t="shared" si="95"/>
        <v>Sep</v>
      </c>
      <c r="B397" s="70">
        <f t="shared" si="96"/>
        <v>0</v>
      </c>
      <c r="C397" s="62">
        <f t="shared" si="97"/>
        <v>0.3</v>
      </c>
      <c r="D397" s="61">
        <f t="shared" si="92"/>
        <v>0</v>
      </c>
      <c r="E397" s="61">
        <f t="shared" si="93"/>
        <v>0</v>
      </c>
      <c r="F397" s="63">
        <f t="shared" si="98"/>
        <v>1</v>
      </c>
      <c r="G397" s="70">
        <f t="shared" si="99"/>
        <v>0</v>
      </c>
      <c r="H397" s="64">
        <f t="shared" si="94"/>
        <v>0</v>
      </c>
    </row>
    <row r="398" spans="1:8" ht="12.75">
      <c r="A398" s="93" t="str">
        <f t="shared" si="95"/>
        <v>Oct</v>
      </c>
      <c r="B398" s="70">
        <f t="shared" si="96"/>
        <v>0</v>
      </c>
      <c r="C398" s="62">
        <f t="shared" si="97"/>
        <v>0.3</v>
      </c>
      <c r="D398" s="61">
        <f t="shared" si="92"/>
        <v>0</v>
      </c>
      <c r="E398" s="61">
        <f t="shared" si="93"/>
        <v>0</v>
      </c>
      <c r="F398" s="63">
        <f t="shared" si="98"/>
        <v>1</v>
      </c>
      <c r="G398" s="70">
        <f t="shared" si="99"/>
        <v>0</v>
      </c>
      <c r="H398" s="64">
        <f t="shared" si="94"/>
        <v>0</v>
      </c>
    </row>
    <row r="399" spans="1:8" ht="12.75">
      <c r="A399" s="93" t="str">
        <f t="shared" si="95"/>
        <v>Nov</v>
      </c>
      <c r="B399" s="70">
        <f t="shared" si="96"/>
        <v>0</v>
      </c>
      <c r="C399" s="62">
        <f t="shared" si="97"/>
        <v>0.3</v>
      </c>
      <c r="D399" s="61">
        <f t="shared" si="92"/>
        <v>0</v>
      </c>
      <c r="E399" s="61">
        <f t="shared" si="93"/>
        <v>0</v>
      </c>
      <c r="F399" s="63">
        <f t="shared" si="98"/>
        <v>1</v>
      </c>
      <c r="G399" s="70">
        <f t="shared" si="99"/>
        <v>0</v>
      </c>
      <c r="H399" s="64">
        <f t="shared" si="94"/>
        <v>0</v>
      </c>
    </row>
    <row r="400" spans="1:8" ht="13.5" thickBot="1">
      <c r="A400" s="93" t="str">
        <f t="shared" si="95"/>
        <v>Dec</v>
      </c>
      <c r="B400" s="70">
        <f t="shared" si="96"/>
        <v>0</v>
      </c>
      <c r="C400" s="62">
        <f t="shared" si="97"/>
        <v>0.3</v>
      </c>
      <c r="D400" s="61">
        <f t="shared" si="92"/>
        <v>0</v>
      </c>
      <c r="E400" s="61">
        <f t="shared" si="93"/>
        <v>0</v>
      </c>
      <c r="F400" s="63">
        <f t="shared" si="98"/>
        <v>1</v>
      </c>
      <c r="G400" s="70">
        <f t="shared" si="99"/>
        <v>0</v>
      </c>
      <c r="H400" s="64">
        <f t="shared" si="94"/>
        <v>0</v>
      </c>
    </row>
    <row r="401" spans="1:8" ht="13.5" thickBot="1">
      <c r="A401" s="54" t="s">
        <v>11</v>
      </c>
      <c r="B401" s="68">
        <f>SUM(B389:B400)</f>
        <v>35.40726237300404</v>
      </c>
      <c r="C401" s="68"/>
      <c r="D401" s="68">
        <f>SUM(D389:D400)</f>
        <v>241.8316020076176</v>
      </c>
      <c r="E401" s="68">
        <f>SUM(E389:E400)</f>
        <v>72.54948060228527</v>
      </c>
      <c r="F401" s="68"/>
      <c r="G401" s="219">
        <f>SUM(G389:G400)</f>
        <v>72.54948060228527</v>
      </c>
      <c r="H401" s="69">
        <f>SUM(H389:H400)</f>
        <v>0.03627474030114264</v>
      </c>
    </row>
    <row r="402" spans="1:8" ht="12.75">
      <c r="A402" s="33"/>
      <c r="B402" s="34"/>
      <c r="C402" s="34"/>
      <c r="D402" s="34"/>
      <c r="E402" s="34"/>
      <c r="F402" s="34"/>
      <c r="G402" s="55"/>
      <c r="H402" s="57"/>
    </row>
    <row r="403" spans="1:8" ht="12.75">
      <c r="A403" s="33"/>
      <c r="B403" s="34"/>
      <c r="C403" s="34"/>
      <c r="D403" s="34"/>
      <c r="E403" s="34"/>
      <c r="F403" s="34"/>
      <c r="G403" s="55"/>
      <c r="H403" s="57"/>
    </row>
    <row r="404" spans="1:8" ht="13.5" thickBot="1">
      <c r="A404" s="364" t="s">
        <v>200</v>
      </c>
      <c r="B404" s="364"/>
      <c r="C404" s="364"/>
      <c r="D404" s="364"/>
      <c r="E404" s="364"/>
      <c r="F404" s="364"/>
      <c r="G404" s="364"/>
      <c r="H404" s="364"/>
    </row>
    <row r="405" spans="1:8" ht="24.75" thickBot="1">
      <c r="A405" s="50" t="s">
        <v>6</v>
      </c>
      <c r="B405" s="51" t="s">
        <v>7</v>
      </c>
      <c r="C405" s="51" t="s">
        <v>12</v>
      </c>
      <c r="D405" s="51" t="s">
        <v>9</v>
      </c>
      <c r="E405" s="52" t="s">
        <v>13</v>
      </c>
      <c r="F405" s="52" t="s">
        <v>3</v>
      </c>
      <c r="G405" s="217" t="s">
        <v>14</v>
      </c>
      <c r="H405" s="52" t="s">
        <v>15</v>
      </c>
    </row>
    <row r="406" spans="1:8" ht="13.5" thickBot="1">
      <c r="A406" s="359" t="s">
        <v>175</v>
      </c>
      <c r="B406" s="362"/>
      <c r="C406" s="362"/>
      <c r="D406" s="362"/>
      <c r="E406" s="362"/>
      <c r="F406" s="362"/>
      <c r="G406" s="362"/>
      <c r="H406" s="363"/>
    </row>
    <row r="407" spans="1:8" ht="12.75">
      <c r="A407" s="59"/>
      <c r="B407" s="22"/>
      <c r="C407" s="22"/>
      <c r="D407" s="22"/>
      <c r="E407" s="22"/>
      <c r="F407" s="22"/>
      <c r="G407" s="70"/>
      <c r="H407" s="60"/>
    </row>
    <row r="408" spans="1:8" ht="19.5" customHeight="1">
      <c r="A408" s="93" t="str">
        <f>A389</f>
        <v>Jan</v>
      </c>
      <c r="B408" s="70">
        <f>B125</f>
        <v>47.858508278861756</v>
      </c>
      <c r="C408" s="62">
        <v>0.025</v>
      </c>
      <c r="D408" s="61">
        <f aca="true" t="shared" si="100" ref="D408:D419">B408*6.83</f>
        <v>326.8736115446258</v>
      </c>
      <c r="E408" s="61">
        <f aca="true" t="shared" si="101" ref="E408:E419">D408*C408</f>
        <v>8.171840288615646</v>
      </c>
      <c r="F408" s="63">
        <v>0.5</v>
      </c>
      <c r="G408" s="70">
        <f>E408*F408</f>
        <v>4.085920144307823</v>
      </c>
      <c r="H408" s="64">
        <f aca="true" t="shared" si="102" ref="H408:H419">G408/2000</f>
        <v>0.0020429600721539117</v>
      </c>
    </row>
    <row r="409" spans="1:14" ht="12.75">
      <c r="A409" s="93" t="str">
        <f aca="true" t="shared" si="103" ref="A409:A419">A390</f>
        <v>Feb</v>
      </c>
      <c r="B409" s="70">
        <f aca="true" t="shared" si="104" ref="B409:B419">B126</f>
        <v>71.78776241829263</v>
      </c>
      <c r="C409" s="62">
        <v>0.025</v>
      </c>
      <c r="D409" s="61">
        <f t="shared" si="100"/>
        <v>490.31041731693864</v>
      </c>
      <c r="E409" s="61">
        <f t="shared" si="101"/>
        <v>12.257760432923467</v>
      </c>
      <c r="F409" s="63">
        <v>0.5</v>
      </c>
      <c r="G409" s="70">
        <f aca="true" t="shared" si="105" ref="G409:G419">E409*F409</f>
        <v>6.1288802164617335</v>
      </c>
      <c r="H409" s="64">
        <f t="shared" si="102"/>
        <v>0.003064440108230867</v>
      </c>
      <c r="I409"/>
      <c r="J409"/>
      <c r="K409" s="2"/>
      <c r="N409"/>
    </row>
    <row r="410" spans="1:14" ht="12.75">
      <c r="A410" s="93" t="str">
        <f t="shared" si="103"/>
        <v>Mar</v>
      </c>
      <c r="B410" s="70">
        <f t="shared" si="104"/>
        <v>95.71701655772351</v>
      </c>
      <c r="C410" s="62">
        <v>0.025</v>
      </c>
      <c r="D410" s="61">
        <f t="shared" si="100"/>
        <v>653.7472230892516</v>
      </c>
      <c r="E410" s="61">
        <f t="shared" si="101"/>
        <v>16.343680577231293</v>
      </c>
      <c r="F410" s="63">
        <v>0.5</v>
      </c>
      <c r="G410" s="70">
        <f t="shared" si="105"/>
        <v>8.171840288615646</v>
      </c>
      <c r="H410" s="64">
        <f t="shared" si="102"/>
        <v>0.004085920144307823</v>
      </c>
      <c r="I410"/>
      <c r="J410"/>
      <c r="K410" s="2"/>
      <c r="N410"/>
    </row>
    <row r="411" spans="1:14" ht="12.75">
      <c r="A411" s="93" t="str">
        <f t="shared" si="103"/>
        <v>Apr</v>
      </c>
      <c r="B411" s="70">
        <f t="shared" si="104"/>
        <v>71.78776241829263</v>
      </c>
      <c r="C411" s="62">
        <v>0.025</v>
      </c>
      <c r="D411" s="61">
        <f t="shared" si="100"/>
        <v>490.31041731693864</v>
      </c>
      <c r="E411" s="61">
        <f t="shared" si="101"/>
        <v>12.257760432923467</v>
      </c>
      <c r="F411" s="63">
        <v>0.5</v>
      </c>
      <c r="G411" s="70">
        <f t="shared" si="105"/>
        <v>6.1288802164617335</v>
      </c>
      <c r="H411" s="64">
        <f t="shared" si="102"/>
        <v>0.003064440108230867</v>
      </c>
      <c r="I411"/>
      <c r="J411"/>
      <c r="K411" s="2"/>
      <c r="N411"/>
    </row>
    <row r="412" spans="1:14" ht="12.75">
      <c r="A412" s="93" t="str">
        <f t="shared" si="103"/>
        <v>May</v>
      </c>
      <c r="B412" s="70">
        <f t="shared" si="104"/>
        <v>23.929254139430878</v>
      </c>
      <c r="C412" s="62">
        <v>0.025</v>
      </c>
      <c r="D412" s="61">
        <f t="shared" si="100"/>
        <v>163.4368057723129</v>
      </c>
      <c r="E412" s="61">
        <f t="shared" si="101"/>
        <v>4.085920144307823</v>
      </c>
      <c r="F412" s="63">
        <v>0.5</v>
      </c>
      <c r="G412" s="70">
        <f t="shared" si="105"/>
        <v>2.0429600721539116</v>
      </c>
      <c r="H412" s="64">
        <f t="shared" si="102"/>
        <v>0.0010214800360769558</v>
      </c>
      <c r="I412"/>
      <c r="J412"/>
      <c r="K412" s="2"/>
      <c r="N412"/>
    </row>
    <row r="413" spans="1:8" ht="12.75">
      <c r="A413" s="93" t="str">
        <f t="shared" si="103"/>
        <v>Jun</v>
      </c>
      <c r="B413" s="70">
        <f t="shared" si="104"/>
        <v>71.78776241829263</v>
      </c>
      <c r="C413" s="62">
        <v>0.025</v>
      </c>
      <c r="D413" s="61">
        <f t="shared" si="100"/>
        <v>490.31041731693864</v>
      </c>
      <c r="E413" s="61">
        <f t="shared" si="101"/>
        <v>12.257760432923467</v>
      </c>
      <c r="F413" s="63">
        <v>0.5</v>
      </c>
      <c r="G413" s="70">
        <f t="shared" si="105"/>
        <v>6.1288802164617335</v>
      </c>
      <c r="H413" s="64">
        <f t="shared" si="102"/>
        <v>0.003064440108230867</v>
      </c>
    </row>
    <row r="414" spans="1:8" ht="12.75">
      <c r="A414" s="93" t="str">
        <f t="shared" si="103"/>
        <v>Jul</v>
      </c>
      <c r="B414" s="70">
        <f t="shared" si="104"/>
        <v>35.893881209146315</v>
      </c>
      <c r="C414" s="62">
        <v>0.025</v>
      </c>
      <c r="D414" s="61">
        <f t="shared" si="100"/>
        <v>245.15520865846932</v>
      </c>
      <c r="E414" s="61">
        <f t="shared" si="101"/>
        <v>6.1288802164617335</v>
      </c>
      <c r="F414" s="63">
        <v>0.5</v>
      </c>
      <c r="G414" s="70">
        <f t="shared" si="105"/>
        <v>3.0644401082308668</v>
      </c>
      <c r="H414" s="64">
        <f t="shared" si="102"/>
        <v>0.0015322200541154334</v>
      </c>
    </row>
    <row r="415" spans="1:8" ht="12.75">
      <c r="A415" s="93" t="str">
        <f t="shared" si="103"/>
        <v>Aug</v>
      </c>
      <c r="B415" s="70">
        <f t="shared" si="104"/>
        <v>0</v>
      </c>
      <c r="C415" s="62">
        <v>0.025</v>
      </c>
      <c r="D415" s="61">
        <f t="shared" si="100"/>
        <v>0</v>
      </c>
      <c r="E415" s="61">
        <f t="shared" si="101"/>
        <v>0</v>
      </c>
      <c r="F415" s="63">
        <v>0.5</v>
      </c>
      <c r="G415" s="70">
        <f t="shared" si="105"/>
        <v>0</v>
      </c>
      <c r="H415" s="64">
        <f t="shared" si="102"/>
        <v>0</v>
      </c>
    </row>
    <row r="416" spans="1:8" ht="12.75">
      <c r="A416" s="93" t="str">
        <f t="shared" si="103"/>
        <v>Sep</v>
      </c>
      <c r="B416" s="70">
        <f t="shared" si="104"/>
        <v>0</v>
      </c>
      <c r="C416" s="62">
        <v>0.025</v>
      </c>
      <c r="D416" s="61">
        <f t="shared" si="100"/>
        <v>0</v>
      </c>
      <c r="E416" s="61">
        <f t="shared" si="101"/>
        <v>0</v>
      </c>
      <c r="F416" s="63">
        <v>0.5</v>
      </c>
      <c r="G416" s="70">
        <f t="shared" si="105"/>
        <v>0</v>
      </c>
      <c r="H416" s="64">
        <f t="shared" si="102"/>
        <v>0</v>
      </c>
    </row>
    <row r="417" spans="1:8" ht="12.75">
      <c r="A417" s="93" t="str">
        <f t="shared" si="103"/>
        <v>Oct</v>
      </c>
      <c r="B417" s="70">
        <f t="shared" si="104"/>
        <v>0</v>
      </c>
      <c r="C417" s="62">
        <v>0.025</v>
      </c>
      <c r="D417" s="61">
        <f t="shared" si="100"/>
        <v>0</v>
      </c>
      <c r="E417" s="61">
        <f t="shared" si="101"/>
        <v>0</v>
      </c>
      <c r="F417" s="63">
        <v>0.5</v>
      </c>
      <c r="G417" s="70">
        <f t="shared" si="105"/>
        <v>0</v>
      </c>
      <c r="H417" s="64">
        <f t="shared" si="102"/>
        <v>0</v>
      </c>
    </row>
    <row r="418" spans="1:8" ht="12.75">
      <c r="A418" s="93" t="str">
        <f t="shared" si="103"/>
        <v>Nov</v>
      </c>
      <c r="B418" s="70">
        <f t="shared" si="104"/>
        <v>0</v>
      </c>
      <c r="C418" s="62">
        <v>0.025</v>
      </c>
      <c r="D418" s="61">
        <f t="shared" si="100"/>
        <v>0</v>
      </c>
      <c r="E418" s="61">
        <f t="shared" si="101"/>
        <v>0</v>
      </c>
      <c r="F418" s="63">
        <v>0.5</v>
      </c>
      <c r="G418" s="70">
        <f t="shared" si="105"/>
        <v>0</v>
      </c>
      <c r="H418" s="64">
        <f t="shared" si="102"/>
        <v>0</v>
      </c>
    </row>
    <row r="419" spans="1:8" ht="13.5" thickBot="1">
      <c r="A419" s="93" t="str">
        <f t="shared" si="103"/>
        <v>Dec</v>
      </c>
      <c r="B419" s="70">
        <f t="shared" si="104"/>
        <v>0</v>
      </c>
      <c r="C419" s="62">
        <v>0.025</v>
      </c>
      <c r="D419" s="61">
        <f t="shared" si="100"/>
        <v>0</v>
      </c>
      <c r="E419" s="61">
        <f t="shared" si="101"/>
        <v>0</v>
      </c>
      <c r="F419" s="63">
        <v>0.5</v>
      </c>
      <c r="G419" s="70">
        <f t="shared" si="105"/>
        <v>0</v>
      </c>
      <c r="H419" s="64">
        <f t="shared" si="102"/>
        <v>0</v>
      </c>
    </row>
    <row r="420" spans="1:8" ht="13.5" thickBot="1">
      <c r="A420" s="54" t="s">
        <v>11</v>
      </c>
      <c r="B420" s="68">
        <f>SUM(B408:B419)</f>
        <v>418.76194744004033</v>
      </c>
      <c r="C420" s="68"/>
      <c r="D420" s="68">
        <f>SUM(D408:D419)</f>
        <v>2860.1441010154754</v>
      </c>
      <c r="E420" s="68">
        <f>SUM(E408:E419)</f>
        <v>71.5036025253869</v>
      </c>
      <c r="F420" s="68"/>
      <c r="G420" s="219">
        <f>SUM(G408:G419)</f>
        <v>35.75180126269345</v>
      </c>
      <c r="H420" s="69">
        <f>SUM(H408:H419)</f>
        <v>0.017875900631346725</v>
      </c>
    </row>
    <row r="421" spans="1:8" ht="12.75">
      <c r="A421" s="21"/>
      <c r="B421" s="7"/>
      <c r="C421" s="7"/>
      <c r="D421" s="7"/>
      <c r="E421" s="7"/>
      <c r="F421" s="7"/>
      <c r="G421" s="13"/>
      <c r="H421" s="7"/>
    </row>
    <row r="422" spans="1:8" ht="12.75">
      <c r="A422" s="21"/>
      <c r="B422" s="7"/>
      <c r="C422" s="7"/>
      <c r="D422" s="7"/>
      <c r="E422" s="7"/>
      <c r="F422" s="7"/>
      <c r="G422" s="13"/>
      <c r="H422" s="7"/>
    </row>
    <row r="423" spans="1:8" ht="12.75">
      <c r="A423" s="21"/>
      <c r="B423" s="7"/>
      <c r="C423" s="7"/>
      <c r="D423" s="7"/>
      <c r="E423" s="7"/>
      <c r="F423" s="7"/>
      <c r="G423" s="13"/>
      <c r="H423" s="7"/>
    </row>
    <row r="424" spans="1:8" ht="13.5" thickBot="1">
      <c r="A424" s="364" t="s">
        <v>201</v>
      </c>
      <c r="B424" s="364"/>
      <c r="C424" s="364"/>
      <c r="D424" s="364"/>
      <c r="E424" s="364"/>
      <c r="F424" s="364"/>
      <c r="G424" s="364"/>
      <c r="H424" s="364"/>
    </row>
    <row r="425" spans="1:8" ht="24.75" thickBot="1">
      <c r="A425" s="50" t="s">
        <v>6</v>
      </c>
      <c r="B425" s="51" t="s">
        <v>7</v>
      </c>
      <c r="C425" s="51" t="s">
        <v>12</v>
      </c>
      <c r="D425" s="51" t="s">
        <v>9</v>
      </c>
      <c r="E425" s="52" t="s">
        <v>13</v>
      </c>
      <c r="F425" s="52" t="s">
        <v>3</v>
      </c>
      <c r="G425" s="217" t="s">
        <v>14</v>
      </c>
      <c r="H425" s="52" t="s">
        <v>15</v>
      </c>
    </row>
    <row r="426" spans="1:8" ht="13.5" thickBot="1">
      <c r="A426" s="359" t="s">
        <v>126</v>
      </c>
      <c r="B426" s="362"/>
      <c r="C426" s="362"/>
      <c r="D426" s="362"/>
      <c r="E426" s="362"/>
      <c r="F426" s="362"/>
      <c r="G426" s="362"/>
      <c r="H426" s="363"/>
    </row>
    <row r="427" spans="1:8" ht="12.75">
      <c r="A427" s="59"/>
      <c r="B427" s="22"/>
      <c r="C427" s="22"/>
      <c r="D427" s="22"/>
      <c r="E427" s="22"/>
      <c r="F427" s="22"/>
      <c r="G427" s="70"/>
      <c r="H427" s="60"/>
    </row>
    <row r="428" spans="1:8" ht="12.75">
      <c r="A428" s="93" t="str">
        <f>A408</f>
        <v>Jan</v>
      </c>
      <c r="B428" s="70">
        <f>B143</f>
        <v>114.44076785402054</v>
      </c>
      <c r="C428" s="62">
        <f>C408</f>
        <v>0.025</v>
      </c>
      <c r="D428" s="61">
        <f>B428*6.83</f>
        <v>781.6304444429603</v>
      </c>
      <c r="E428" s="61">
        <f>D428*C428</f>
        <v>19.54076111107401</v>
      </c>
      <c r="F428" s="63">
        <v>0.5</v>
      </c>
      <c r="G428" s="70">
        <f>E428*F428</f>
        <v>9.770380555537004</v>
      </c>
      <c r="H428" s="64">
        <f aca="true" t="shared" si="106" ref="H428:H439">G428/2000</f>
        <v>0.004885190277768502</v>
      </c>
    </row>
    <row r="429" spans="1:8" ht="12.75">
      <c r="A429" s="93" t="str">
        <f aca="true" t="shared" si="107" ref="A429:A439">A409</f>
        <v>Feb</v>
      </c>
      <c r="B429" s="70">
        <f aca="true" t="shared" si="108" ref="B429:B439">B144</f>
        <v>171.6611517810308</v>
      </c>
      <c r="C429" s="62">
        <f aca="true" t="shared" si="109" ref="C429:C439">C409</f>
        <v>0.025</v>
      </c>
      <c r="D429" s="61">
        <f aca="true" t="shared" si="110" ref="D429:D439">B429*6.83</f>
        <v>1172.4456666644405</v>
      </c>
      <c r="E429" s="61">
        <f aca="true" t="shared" si="111" ref="E429:E439">D429*C429</f>
        <v>29.311141666611015</v>
      </c>
      <c r="F429" s="63">
        <v>0.5</v>
      </c>
      <c r="G429" s="70">
        <f aca="true" t="shared" si="112" ref="G429:G439">E429*F429</f>
        <v>14.655570833305507</v>
      </c>
      <c r="H429" s="64">
        <f t="shared" si="106"/>
        <v>0.007327785416652754</v>
      </c>
    </row>
    <row r="430" spans="1:8" ht="12.75">
      <c r="A430" s="93" t="str">
        <f t="shared" si="107"/>
        <v>Mar</v>
      </c>
      <c r="B430" s="70">
        <f t="shared" si="108"/>
        <v>228.88153570804107</v>
      </c>
      <c r="C430" s="62">
        <f t="shared" si="109"/>
        <v>0.025</v>
      </c>
      <c r="D430" s="61">
        <f t="shared" si="110"/>
        <v>1563.2608888859206</v>
      </c>
      <c r="E430" s="61">
        <f t="shared" si="111"/>
        <v>39.08152222214802</v>
      </c>
      <c r="F430" s="63">
        <v>0.5</v>
      </c>
      <c r="G430" s="70">
        <f t="shared" si="112"/>
        <v>19.54076111107401</v>
      </c>
      <c r="H430" s="64">
        <f t="shared" si="106"/>
        <v>0.009770380555537004</v>
      </c>
    </row>
    <row r="431" spans="1:8" ht="12.75">
      <c r="A431" s="93" t="str">
        <f t="shared" si="107"/>
        <v>Apr</v>
      </c>
      <c r="B431" s="70">
        <f t="shared" si="108"/>
        <v>171.6611517810308</v>
      </c>
      <c r="C431" s="62">
        <f t="shared" si="109"/>
        <v>0.025</v>
      </c>
      <c r="D431" s="61">
        <f t="shared" si="110"/>
        <v>1172.4456666644405</v>
      </c>
      <c r="E431" s="61">
        <f t="shared" si="111"/>
        <v>29.311141666611015</v>
      </c>
      <c r="F431" s="63">
        <v>0.5</v>
      </c>
      <c r="G431" s="70">
        <f t="shared" si="112"/>
        <v>14.655570833305507</v>
      </c>
      <c r="H431" s="64">
        <f t="shared" si="106"/>
        <v>0.007327785416652754</v>
      </c>
    </row>
    <row r="432" spans="1:8" ht="12.75">
      <c r="A432" s="93" t="str">
        <f t="shared" si="107"/>
        <v>May</v>
      </c>
      <c r="B432" s="70">
        <f t="shared" si="108"/>
        <v>57.22038392701027</v>
      </c>
      <c r="C432" s="62">
        <f t="shared" si="109"/>
        <v>0.025</v>
      </c>
      <c r="D432" s="61">
        <f t="shared" si="110"/>
        <v>390.81522222148016</v>
      </c>
      <c r="E432" s="61">
        <f t="shared" si="111"/>
        <v>9.770380555537004</v>
      </c>
      <c r="F432" s="63">
        <v>0.5</v>
      </c>
      <c r="G432" s="70">
        <f t="shared" si="112"/>
        <v>4.885190277768502</v>
      </c>
      <c r="H432" s="64">
        <f t="shared" si="106"/>
        <v>0.002442595138884251</v>
      </c>
    </row>
    <row r="433" spans="1:8" ht="12.75">
      <c r="A433" s="93" t="str">
        <f t="shared" si="107"/>
        <v>Jun</v>
      </c>
      <c r="B433" s="70">
        <f t="shared" si="108"/>
        <v>171.6611517810308</v>
      </c>
      <c r="C433" s="62">
        <f t="shared" si="109"/>
        <v>0.025</v>
      </c>
      <c r="D433" s="61">
        <f t="shared" si="110"/>
        <v>1172.4456666644405</v>
      </c>
      <c r="E433" s="61">
        <f t="shared" si="111"/>
        <v>29.311141666611015</v>
      </c>
      <c r="F433" s="63">
        <v>0.5</v>
      </c>
      <c r="G433" s="70">
        <f t="shared" si="112"/>
        <v>14.655570833305507</v>
      </c>
      <c r="H433" s="64">
        <f t="shared" si="106"/>
        <v>0.007327785416652754</v>
      </c>
    </row>
    <row r="434" spans="1:8" ht="12.75">
      <c r="A434" s="93" t="str">
        <f t="shared" si="107"/>
        <v>Jul</v>
      </c>
      <c r="B434" s="70">
        <f t="shared" si="108"/>
        <v>85.8305758905154</v>
      </c>
      <c r="C434" s="62">
        <f t="shared" si="109"/>
        <v>0.025</v>
      </c>
      <c r="D434" s="61">
        <f t="shared" si="110"/>
        <v>586.2228333322203</v>
      </c>
      <c r="E434" s="61">
        <f t="shared" si="111"/>
        <v>14.655570833305507</v>
      </c>
      <c r="F434" s="63">
        <v>0.5</v>
      </c>
      <c r="G434" s="70">
        <f t="shared" si="112"/>
        <v>7.327785416652754</v>
      </c>
      <c r="H434" s="64">
        <f t="shared" si="106"/>
        <v>0.003663892708326377</v>
      </c>
    </row>
    <row r="435" spans="1:8" ht="12.75">
      <c r="A435" s="93" t="str">
        <f t="shared" si="107"/>
        <v>Aug</v>
      </c>
      <c r="B435" s="70">
        <f t="shared" si="108"/>
        <v>0</v>
      </c>
      <c r="C435" s="62">
        <f t="shared" si="109"/>
        <v>0.025</v>
      </c>
      <c r="D435" s="61">
        <f t="shared" si="110"/>
        <v>0</v>
      </c>
      <c r="E435" s="61">
        <f t="shared" si="111"/>
        <v>0</v>
      </c>
      <c r="F435" s="63">
        <v>0.5</v>
      </c>
      <c r="G435" s="70">
        <f t="shared" si="112"/>
        <v>0</v>
      </c>
      <c r="H435" s="64">
        <f t="shared" si="106"/>
        <v>0</v>
      </c>
    </row>
    <row r="436" spans="1:8" ht="12.75">
      <c r="A436" s="93" t="str">
        <f t="shared" si="107"/>
        <v>Sep</v>
      </c>
      <c r="B436" s="70">
        <f t="shared" si="108"/>
        <v>0</v>
      </c>
      <c r="C436" s="62">
        <f t="shared" si="109"/>
        <v>0.025</v>
      </c>
      <c r="D436" s="61">
        <f t="shared" si="110"/>
        <v>0</v>
      </c>
      <c r="E436" s="61">
        <f t="shared" si="111"/>
        <v>0</v>
      </c>
      <c r="F436" s="63">
        <v>0.5</v>
      </c>
      <c r="G436" s="70">
        <f t="shared" si="112"/>
        <v>0</v>
      </c>
      <c r="H436" s="64">
        <f t="shared" si="106"/>
        <v>0</v>
      </c>
    </row>
    <row r="437" spans="1:8" ht="12.75">
      <c r="A437" s="93" t="str">
        <f t="shared" si="107"/>
        <v>Oct</v>
      </c>
      <c r="B437" s="70">
        <f t="shared" si="108"/>
        <v>0</v>
      </c>
      <c r="C437" s="62">
        <f t="shared" si="109"/>
        <v>0.025</v>
      </c>
      <c r="D437" s="61">
        <f t="shared" si="110"/>
        <v>0</v>
      </c>
      <c r="E437" s="61">
        <f t="shared" si="111"/>
        <v>0</v>
      </c>
      <c r="F437" s="63">
        <v>0.5</v>
      </c>
      <c r="G437" s="70">
        <f>E437*F437</f>
        <v>0</v>
      </c>
      <c r="H437" s="64">
        <f t="shared" si="106"/>
        <v>0</v>
      </c>
    </row>
    <row r="438" spans="1:8" ht="12.75">
      <c r="A438" s="93" t="str">
        <f t="shared" si="107"/>
        <v>Nov</v>
      </c>
      <c r="B438" s="70">
        <f t="shared" si="108"/>
        <v>0</v>
      </c>
      <c r="C438" s="62">
        <f t="shared" si="109"/>
        <v>0.025</v>
      </c>
      <c r="D438" s="61">
        <f t="shared" si="110"/>
        <v>0</v>
      </c>
      <c r="E438" s="61">
        <f t="shared" si="111"/>
        <v>0</v>
      </c>
      <c r="F438" s="63">
        <v>0.5</v>
      </c>
      <c r="G438" s="70">
        <f t="shared" si="112"/>
        <v>0</v>
      </c>
      <c r="H438" s="64">
        <f t="shared" si="106"/>
        <v>0</v>
      </c>
    </row>
    <row r="439" spans="1:8" ht="13.5" thickBot="1">
      <c r="A439" s="93" t="str">
        <f t="shared" si="107"/>
        <v>Dec</v>
      </c>
      <c r="B439" s="70">
        <f t="shared" si="108"/>
        <v>0</v>
      </c>
      <c r="C439" s="62">
        <f t="shared" si="109"/>
        <v>0.025</v>
      </c>
      <c r="D439" s="61">
        <f t="shared" si="110"/>
        <v>0</v>
      </c>
      <c r="E439" s="61">
        <f t="shared" si="111"/>
        <v>0</v>
      </c>
      <c r="F439" s="63">
        <v>0.5</v>
      </c>
      <c r="G439" s="70">
        <f t="shared" si="112"/>
        <v>0</v>
      </c>
      <c r="H439" s="64">
        <f t="shared" si="106"/>
        <v>0</v>
      </c>
    </row>
    <row r="440" spans="1:8" ht="13.5" thickBot="1">
      <c r="A440" s="54" t="s">
        <v>11</v>
      </c>
      <c r="B440" s="68">
        <f>SUM(B428:B439)</f>
        <v>1001.3567187226798</v>
      </c>
      <c r="C440" s="68"/>
      <c r="D440" s="68">
        <f>SUM(D428:D439)</f>
        <v>6839.266388875903</v>
      </c>
      <c r="E440" s="68">
        <f>SUM(E428:E439)</f>
        <v>170.98165972189759</v>
      </c>
      <c r="F440" s="68"/>
      <c r="G440" s="219">
        <f>SUM(G428:G439)</f>
        <v>85.49082986094879</v>
      </c>
      <c r="H440" s="229">
        <f>SUM(H428:H439)</f>
        <v>0.042745414930474394</v>
      </c>
    </row>
    <row r="441" spans="1:8" ht="12.75">
      <c r="A441" s="21"/>
      <c r="B441" s="7"/>
      <c r="C441" s="7"/>
      <c r="D441" s="7"/>
      <c r="E441" s="7"/>
      <c r="F441" s="7"/>
      <c r="G441" s="13"/>
      <c r="H441" s="7"/>
    </row>
    <row r="442" spans="1:8" ht="12.75">
      <c r="A442" s="21"/>
      <c r="B442" s="7">
        <f>B440*0.63*6.7</f>
        <v>4226.726709728432</v>
      </c>
      <c r="C442" s="7"/>
      <c r="D442" s="7"/>
      <c r="E442" s="7"/>
      <c r="F442" s="7"/>
      <c r="G442" s="13"/>
      <c r="H442" s="7"/>
    </row>
    <row r="443" spans="1:8" ht="12.75">
      <c r="A443" s="21"/>
      <c r="B443" s="7"/>
      <c r="C443" s="7"/>
      <c r="D443" s="7"/>
      <c r="E443" s="7"/>
      <c r="F443" s="7"/>
      <c r="G443" s="13"/>
      <c r="H443" s="7"/>
    </row>
    <row r="444" spans="1:8" ht="13.5" thickBot="1">
      <c r="A444" s="364" t="s">
        <v>202</v>
      </c>
      <c r="B444" s="364"/>
      <c r="C444" s="364"/>
      <c r="D444" s="364"/>
      <c r="E444" s="364"/>
      <c r="F444" s="364"/>
      <c r="G444" s="364"/>
      <c r="H444" s="364"/>
    </row>
    <row r="445" spans="1:8" ht="24.75" thickBot="1">
      <c r="A445" s="50" t="s">
        <v>6</v>
      </c>
      <c r="B445" s="51" t="s">
        <v>7</v>
      </c>
      <c r="C445" s="51" t="s">
        <v>12</v>
      </c>
      <c r="D445" s="51" t="s">
        <v>9</v>
      </c>
      <c r="E445" s="52" t="s">
        <v>13</v>
      </c>
      <c r="F445" s="52" t="s">
        <v>3</v>
      </c>
      <c r="G445" s="217" t="s">
        <v>14</v>
      </c>
      <c r="H445" s="52" t="s">
        <v>15</v>
      </c>
    </row>
    <row r="446" spans="1:8" ht="13.5" thickBot="1">
      <c r="A446" s="359" t="s">
        <v>126</v>
      </c>
      <c r="B446" s="362"/>
      <c r="C446" s="362"/>
      <c r="D446" s="362"/>
      <c r="E446" s="362"/>
      <c r="F446" s="362"/>
      <c r="G446" s="362"/>
      <c r="H446" s="363"/>
    </row>
    <row r="447" spans="1:8" ht="12.75">
      <c r="A447" s="59"/>
      <c r="B447" s="22"/>
      <c r="C447" s="22"/>
      <c r="D447" s="22"/>
      <c r="E447" s="22"/>
      <c r="F447" s="22"/>
      <c r="G447" s="70"/>
      <c r="H447" s="60"/>
    </row>
    <row r="448" spans="1:8" ht="12.75">
      <c r="A448" s="93" t="str">
        <f>A428</f>
        <v>Jan</v>
      </c>
      <c r="B448" s="70">
        <f>B161</f>
        <v>57.70072386711769</v>
      </c>
      <c r="C448" s="62">
        <v>0.025</v>
      </c>
      <c r="D448" s="61">
        <f aca="true" t="shared" si="113" ref="D448:D459">B448*6.83</f>
        <v>394.09594401241384</v>
      </c>
      <c r="E448" s="61">
        <f aca="true" t="shared" si="114" ref="E448:E459">D448*C448</f>
        <v>9.852398600310346</v>
      </c>
      <c r="F448" s="63">
        <v>0.5</v>
      </c>
      <c r="G448" s="70">
        <f>E448*F448</f>
        <v>4.926199300155173</v>
      </c>
      <c r="H448" s="64">
        <f aca="true" t="shared" si="115" ref="H448:H459">G448/2000</f>
        <v>0.0024630996500775867</v>
      </c>
    </row>
    <row r="449" spans="1:8" ht="12.75">
      <c r="A449" s="93" t="str">
        <f aca="true" t="shared" si="116" ref="A449:A459">A429</f>
        <v>Feb</v>
      </c>
      <c r="B449" s="70">
        <f aca="true" t="shared" si="117" ref="B449:B459">B162</f>
        <v>86.55108580067653</v>
      </c>
      <c r="C449" s="62">
        <f aca="true" t="shared" si="118" ref="C449:C459">C429</f>
        <v>0.025</v>
      </c>
      <c r="D449" s="61">
        <f t="shared" si="113"/>
        <v>591.1439160186208</v>
      </c>
      <c r="E449" s="61">
        <f t="shared" si="114"/>
        <v>14.77859790046552</v>
      </c>
      <c r="F449" s="63">
        <v>0.5</v>
      </c>
      <c r="G449" s="70">
        <f aca="true" t="shared" si="119" ref="G449:G459">E449*F449</f>
        <v>7.38929895023276</v>
      </c>
      <c r="H449" s="64">
        <f t="shared" si="115"/>
        <v>0.00369464947511638</v>
      </c>
    </row>
    <row r="450" spans="1:8" ht="12.75">
      <c r="A450" s="93" t="str">
        <f t="shared" si="116"/>
        <v>Mar</v>
      </c>
      <c r="B450" s="70">
        <f t="shared" si="117"/>
        <v>115.40144773423538</v>
      </c>
      <c r="C450" s="62">
        <f t="shared" si="118"/>
        <v>0.025</v>
      </c>
      <c r="D450" s="61">
        <f t="shared" si="113"/>
        <v>788.1918880248277</v>
      </c>
      <c r="E450" s="61">
        <f t="shared" si="114"/>
        <v>19.704797200620693</v>
      </c>
      <c r="F450" s="63">
        <v>0.5</v>
      </c>
      <c r="G450" s="70">
        <f t="shared" si="119"/>
        <v>9.852398600310346</v>
      </c>
      <c r="H450" s="64">
        <f t="shared" si="115"/>
        <v>0.004926199300155173</v>
      </c>
    </row>
    <row r="451" spans="1:8" ht="12.75">
      <c r="A451" s="93" t="str">
        <f t="shared" si="116"/>
        <v>Apr</v>
      </c>
      <c r="B451" s="70">
        <f t="shared" si="117"/>
        <v>86.55108580067653</v>
      </c>
      <c r="C451" s="62">
        <f t="shared" si="118"/>
        <v>0.025</v>
      </c>
      <c r="D451" s="61">
        <f t="shared" si="113"/>
        <v>591.1439160186208</v>
      </c>
      <c r="E451" s="61">
        <f t="shared" si="114"/>
        <v>14.77859790046552</v>
      </c>
      <c r="F451" s="63">
        <v>0.5</v>
      </c>
      <c r="G451" s="70">
        <f t="shared" si="119"/>
        <v>7.38929895023276</v>
      </c>
      <c r="H451" s="64">
        <f t="shared" si="115"/>
        <v>0.00369464947511638</v>
      </c>
    </row>
    <row r="452" spans="1:8" ht="12.75">
      <c r="A452" s="93" t="str">
        <f t="shared" si="116"/>
        <v>May</v>
      </c>
      <c r="B452" s="70">
        <f t="shared" si="117"/>
        <v>28.850361933558844</v>
      </c>
      <c r="C452" s="62">
        <f t="shared" si="118"/>
        <v>0.025</v>
      </c>
      <c r="D452" s="61">
        <f t="shared" si="113"/>
        <v>197.04797200620692</v>
      </c>
      <c r="E452" s="61">
        <f t="shared" si="114"/>
        <v>4.926199300155173</v>
      </c>
      <c r="F452" s="63">
        <v>0.5</v>
      </c>
      <c r="G452" s="70">
        <f t="shared" si="119"/>
        <v>2.4630996500775866</v>
      </c>
      <c r="H452" s="64">
        <f t="shared" si="115"/>
        <v>0.0012315498250387933</v>
      </c>
    </row>
    <row r="453" spans="1:8" ht="12.75">
      <c r="A453" s="93" t="str">
        <f t="shared" si="116"/>
        <v>Jun</v>
      </c>
      <c r="B453" s="70">
        <f t="shared" si="117"/>
        <v>86.55108580067653</v>
      </c>
      <c r="C453" s="62">
        <f t="shared" si="118"/>
        <v>0.025</v>
      </c>
      <c r="D453" s="61">
        <f t="shared" si="113"/>
        <v>591.1439160186208</v>
      </c>
      <c r="E453" s="61">
        <f t="shared" si="114"/>
        <v>14.77859790046552</v>
      </c>
      <c r="F453" s="63">
        <v>0.5</v>
      </c>
      <c r="G453" s="70">
        <f t="shared" si="119"/>
        <v>7.38929895023276</v>
      </c>
      <c r="H453" s="64">
        <f t="shared" si="115"/>
        <v>0.00369464947511638</v>
      </c>
    </row>
    <row r="454" spans="1:8" ht="12.75">
      <c r="A454" s="93" t="str">
        <f t="shared" si="116"/>
        <v>Jul</v>
      </c>
      <c r="B454" s="70">
        <f t="shared" si="117"/>
        <v>43.275542900338266</v>
      </c>
      <c r="C454" s="62">
        <f t="shared" si="118"/>
        <v>0.025</v>
      </c>
      <c r="D454" s="61">
        <f t="shared" si="113"/>
        <v>295.5719580093104</v>
      </c>
      <c r="E454" s="61">
        <f t="shared" si="114"/>
        <v>7.38929895023276</v>
      </c>
      <c r="F454" s="63">
        <v>0.5</v>
      </c>
      <c r="G454" s="70">
        <f t="shared" si="119"/>
        <v>3.69464947511638</v>
      </c>
      <c r="H454" s="64">
        <f t="shared" si="115"/>
        <v>0.00184732473755819</v>
      </c>
    </row>
    <row r="455" spans="1:8" ht="12.75">
      <c r="A455" s="93" t="str">
        <f t="shared" si="116"/>
        <v>Aug</v>
      </c>
      <c r="B455" s="70">
        <f t="shared" si="117"/>
        <v>0</v>
      </c>
      <c r="C455" s="62">
        <f t="shared" si="118"/>
        <v>0.025</v>
      </c>
      <c r="D455" s="61">
        <f t="shared" si="113"/>
        <v>0</v>
      </c>
      <c r="E455" s="61">
        <f t="shared" si="114"/>
        <v>0</v>
      </c>
      <c r="F455" s="63">
        <v>0.5</v>
      </c>
      <c r="G455" s="70">
        <f t="shared" si="119"/>
        <v>0</v>
      </c>
      <c r="H455" s="64">
        <f t="shared" si="115"/>
        <v>0</v>
      </c>
    </row>
    <row r="456" spans="1:8" ht="12.75">
      <c r="A456" s="93" t="str">
        <f t="shared" si="116"/>
        <v>Sep</v>
      </c>
      <c r="B456" s="70">
        <f t="shared" si="117"/>
        <v>0</v>
      </c>
      <c r="C456" s="62">
        <f t="shared" si="118"/>
        <v>0.025</v>
      </c>
      <c r="D456" s="61">
        <f t="shared" si="113"/>
        <v>0</v>
      </c>
      <c r="E456" s="61">
        <f t="shared" si="114"/>
        <v>0</v>
      </c>
      <c r="F456" s="63">
        <v>0.5</v>
      </c>
      <c r="G456" s="70">
        <f t="shared" si="119"/>
        <v>0</v>
      </c>
      <c r="H456" s="64">
        <f t="shared" si="115"/>
        <v>0</v>
      </c>
    </row>
    <row r="457" spans="1:8" ht="12.75">
      <c r="A457" s="93" t="str">
        <f t="shared" si="116"/>
        <v>Oct</v>
      </c>
      <c r="B457" s="70">
        <f t="shared" si="117"/>
        <v>0</v>
      </c>
      <c r="C457" s="62">
        <f t="shared" si="118"/>
        <v>0.025</v>
      </c>
      <c r="D457" s="61">
        <f t="shared" si="113"/>
        <v>0</v>
      </c>
      <c r="E457" s="61">
        <f t="shared" si="114"/>
        <v>0</v>
      </c>
      <c r="F457" s="63">
        <v>0.5</v>
      </c>
      <c r="G457" s="70">
        <f t="shared" si="119"/>
        <v>0</v>
      </c>
      <c r="H457" s="64">
        <f t="shared" si="115"/>
        <v>0</v>
      </c>
    </row>
    <row r="458" spans="1:8" ht="12.75">
      <c r="A458" s="93" t="str">
        <f t="shared" si="116"/>
        <v>Nov</v>
      </c>
      <c r="B458" s="70">
        <f t="shared" si="117"/>
        <v>0</v>
      </c>
      <c r="C458" s="62">
        <f t="shared" si="118"/>
        <v>0.025</v>
      </c>
      <c r="D458" s="61">
        <f t="shared" si="113"/>
        <v>0</v>
      </c>
      <c r="E458" s="61">
        <f t="shared" si="114"/>
        <v>0</v>
      </c>
      <c r="F458" s="63">
        <v>0.5</v>
      </c>
      <c r="G458" s="70">
        <f t="shared" si="119"/>
        <v>0</v>
      </c>
      <c r="H458" s="64">
        <f t="shared" si="115"/>
        <v>0</v>
      </c>
    </row>
    <row r="459" spans="1:8" ht="13.5" thickBot="1">
      <c r="A459" s="93" t="str">
        <f t="shared" si="116"/>
        <v>Dec</v>
      </c>
      <c r="B459" s="70">
        <f t="shared" si="117"/>
        <v>0</v>
      </c>
      <c r="C459" s="62">
        <f t="shared" si="118"/>
        <v>0.025</v>
      </c>
      <c r="D459" s="61">
        <f t="shared" si="113"/>
        <v>0</v>
      </c>
      <c r="E459" s="61">
        <f t="shared" si="114"/>
        <v>0</v>
      </c>
      <c r="F459" s="63">
        <v>0.5</v>
      </c>
      <c r="G459" s="70">
        <f t="shared" si="119"/>
        <v>0</v>
      </c>
      <c r="H459" s="64">
        <f t="shared" si="115"/>
        <v>0</v>
      </c>
    </row>
    <row r="460" spans="1:8" ht="13.5" thickBot="1">
      <c r="A460" s="54" t="s">
        <v>11</v>
      </c>
      <c r="B460" s="68">
        <f>SUM(B448:B459)</f>
        <v>504.8813338372798</v>
      </c>
      <c r="C460" s="68"/>
      <c r="D460" s="68">
        <f>SUM(D448:D459)</f>
        <v>3448.339510108621</v>
      </c>
      <c r="E460" s="68">
        <f>SUM(E448:E459)</f>
        <v>86.20848775271551</v>
      </c>
      <c r="F460" s="68"/>
      <c r="G460" s="219">
        <f>SUM(G448:G459)</f>
        <v>43.10424387635776</v>
      </c>
      <c r="H460" s="69">
        <f>SUM(H448:H459)</f>
        <v>0.021552121938178886</v>
      </c>
    </row>
    <row r="461" spans="3:8" ht="12.75">
      <c r="C461"/>
      <c r="E461"/>
      <c r="F461"/>
      <c r="G461" s="212"/>
      <c r="H461"/>
    </row>
    <row r="462" spans="3:8" ht="12.75">
      <c r="C462"/>
      <c r="E462"/>
      <c r="F462"/>
      <c r="G462" s="212"/>
      <c r="H462"/>
    </row>
    <row r="463" spans="1:9" ht="12.75">
      <c r="A463" s="357" t="s">
        <v>215</v>
      </c>
      <c r="B463" s="357"/>
      <c r="C463" s="357"/>
      <c r="D463" s="357"/>
      <c r="E463" s="357"/>
      <c r="F463" s="357"/>
      <c r="G463" s="357"/>
      <c r="H463" s="357"/>
      <c r="I463" s="357"/>
    </row>
    <row r="464" spans="1:9" ht="12.75">
      <c r="A464" s="358" t="s">
        <v>240</v>
      </c>
      <c r="B464" s="358"/>
      <c r="C464" s="358"/>
      <c r="D464" s="358"/>
      <c r="E464" s="358"/>
      <c r="F464" s="358"/>
      <c r="G464" s="358"/>
      <c r="H464" s="358"/>
      <c r="I464" s="358"/>
    </row>
    <row r="465" spans="1:15" ht="33.75">
      <c r="A465" s="384" t="s">
        <v>16</v>
      </c>
      <c r="B465" s="385"/>
      <c r="C465" s="386"/>
      <c r="D465" s="58" t="s">
        <v>213</v>
      </c>
      <c r="E465" s="58" t="s">
        <v>176</v>
      </c>
      <c r="F465" s="58" t="s">
        <v>212</v>
      </c>
      <c r="G465" s="58" t="s">
        <v>217</v>
      </c>
      <c r="H465" s="221" t="s">
        <v>177</v>
      </c>
      <c r="I465" s="58" t="s">
        <v>178</v>
      </c>
      <c r="J465" s="7"/>
      <c r="K465" s="8"/>
      <c r="N465"/>
      <c r="O465" s="2"/>
    </row>
    <row r="466" spans="1:15" ht="12.75">
      <c r="A466" s="372" t="s">
        <v>65</v>
      </c>
      <c r="B466" s="373"/>
      <c r="C466" s="374"/>
      <c r="D466" s="38" t="s">
        <v>55</v>
      </c>
      <c r="E466" s="199" t="s">
        <v>55</v>
      </c>
      <c r="F466" s="200">
        <f>H401+H381+H361</f>
        <v>0.1383075</v>
      </c>
      <c r="G466" s="200" t="s">
        <v>55</v>
      </c>
      <c r="H466" s="46" t="str">
        <f>F467</f>
        <v>---</v>
      </c>
      <c r="I466" s="378">
        <f>SUM(D470:H470)</f>
        <v>0.6259178902328099</v>
      </c>
      <c r="J466" s="7"/>
      <c r="K466" s="8"/>
      <c r="N466"/>
      <c r="O466" s="2"/>
    </row>
    <row r="467" spans="1:15" ht="12.75">
      <c r="A467" s="372" t="s">
        <v>17</v>
      </c>
      <c r="B467" s="373"/>
      <c r="C467" s="374"/>
      <c r="D467" s="38">
        <f>(H300+H319+H338)/2</f>
        <v>0.19293671386640496</v>
      </c>
      <c r="E467" s="38">
        <f>D467</f>
        <v>0.19293671386640496</v>
      </c>
      <c r="F467" s="200" t="s">
        <v>55</v>
      </c>
      <c r="G467" s="200" t="s">
        <v>55</v>
      </c>
      <c r="H467" s="46" t="str">
        <f>F467</f>
        <v>---</v>
      </c>
      <c r="I467" s="379"/>
      <c r="J467" s="7"/>
      <c r="K467" s="8"/>
      <c r="N467"/>
      <c r="O467" s="2"/>
    </row>
    <row r="468" spans="1:15" ht="12.75">
      <c r="A468" s="372" t="s">
        <v>137</v>
      </c>
      <c r="B468" s="373"/>
      <c r="C468" s="374"/>
      <c r="D468" s="38" t="str">
        <f>D466</f>
        <v>---</v>
      </c>
      <c r="E468" s="199" t="s">
        <v>55</v>
      </c>
      <c r="F468" s="200" t="str">
        <f>F467</f>
        <v>---</v>
      </c>
      <c r="G468" s="200" t="s">
        <v>55</v>
      </c>
      <c r="H468" s="46">
        <f>H460+H440+H420+'INPUT 4 - SHEETFED USAGE &amp; EMIS'!N40</f>
        <v>0.1007870625</v>
      </c>
      <c r="I468" s="379"/>
      <c r="J468" s="7"/>
      <c r="K468" s="8"/>
      <c r="N468"/>
      <c r="O468" s="2"/>
    </row>
    <row r="469" spans="1:15" ht="12.75">
      <c r="A469" s="387" t="s">
        <v>218</v>
      </c>
      <c r="B469" s="388"/>
      <c r="C469" s="389"/>
      <c r="D469" s="199" t="s">
        <v>55</v>
      </c>
      <c r="E469" s="199" t="s">
        <v>55</v>
      </c>
      <c r="F469" s="199" t="s">
        <v>55</v>
      </c>
      <c r="G469" s="226">
        <f>'INPUT 4 - SHEETFED USAGE &amp; EMIS'!N44</f>
        <v>0.0009499</v>
      </c>
      <c r="H469" s="46"/>
      <c r="I469" s="379"/>
      <c r="J469" s="7"/>
      <c r="K469" s="8"/>
      <c r="N469"/>
      <c r="O469" s="2"/>
    </row>
    <row r="470" spans="1:15" ht="12.75">
      <c r="A470" s="381" t="s">
        <v>128</v>
      </c>
      <c r="B470" s="382"/>
      <c r="C470" s="383"/>
      <c r="D470" s="39">
        <f>SUM(D466:D468)</f>
        <v>0.19293671386640496</v>
      </c>
      <c r="E470" s="39">
        <f>SUM(E466:E468)</f>
        <v>0.19293671386640496</v>
      </c>
      <c r="F470" s="201">
        <f>SUM(F466:F468)</f>
        <v>0.1383075</v>
      </c>
      <c r="G470" s="227">
        <f>SUM(G466:G469)</f>
        <v>0.0009499</v>
      </c>
      <c r="H470" s="39">
        <f>SUM(H466:H469)</f>
        <v>0.1007870625</v>
      </c>
      <c r="I470" s="380"/>
      <c r="J470" s="7"/>
      <c r="K470" s="8"/>
      <c r="N470"/>
      <c r="O470" s="2"/>
    </row>
  </sheetData>
  <sheetProtection password="CDB2" sheet="1" objects="1" scenarios="1" selectLockedCells="1" selectUnlockedCells="1"/>
  <mergeCells count="115">
    <mergeCell ref="A28:B28"/>
    <mergeCell ref="A42:B42"/>
    <mergeCell ref="A43:B43"/>
    <mergeCell ref="A44:B44"/>
    <mergeCell ref="A31:B31"/>
    <mergeCell ref="A36:B37"/>
    <mergeCell ref="A41:B41"/>
    <mergeCell ref="A25:B25"/>
    <mergeCell ref="A49:B49"/>
    <mergeCell ref="A47:B47"/>
    <mergeCell ref="A48:B48"/>
    <mergeCell ref="A27:B27"/>
    <mergeCell ref="A29:B29"/>
    <mergeCell ref="A30:B30"/>
    <mergeCell ref="A33:D33"/>
    <mergeCell ref="A35:B35"/>
    <mergeCell ref="A46:B46"/>
    <mergeCell ref="A51:B51"/>
    <mergeCell ref="A303:H303"/>
    <mergeCell ref="A305:H305"/>
    <mergeCell ref="A54:B54"/>
    <mergeCell ref="A52:B52"/>
    <mergeCell ref="A53:B53"/>
    <mergeCell ref="A284:H284"/>
    <mergeCell ref="A121:H121"/>
    <mergeCell ref="A160:H160"/>
    <mergeCell ref="A286:H286"/>
    <mergeCell ref="A124:H124"/>
    <mergeCell ref="A140:H140"/>
    <mergeCell ref="A212:H212"/>
    <mergeCell ref="A214:H214"/>
    <mergeCell ref="A177:H177"/>
    <mergeCell ref="A179:H179"/>
    <mergeCell ref="A158:H158"/>
    <mergeCell ref="A446:H446"/>
    <mergeCell ref="A347:H347"/>
    <mergeCell ref="A387:H387"/>
    <mergeCell ref="A365:H365"/>
    <mergeCell ref="A367:H367"/>
    <mergeCell ref="A385:H385"/>
    <mergeCell ref="A343:H343"/>
    <mergeCell ref="A280:H280"/>
    <mergeCell ref="A426:H426"/>
    <mergeCell ref="A444:H444"/>
    <mergeCell ref="A322:H322"/>
    <mergeCell ref="A22:B22"/>
    <mergeCell ref="A281:H281"/>
    <mergeCell ref="A195:H195"/>
    <mergeCell ref="A197:H197"/>
    <mergeCell ref="A38:B38"/>
    <mergeCell ref="A39:B39"/>
    <mergeCell ref="A40:B40"/>
    <mergeCell ref="A142:H142"/>
    <mergeCell ref="A55:B55"/>
    <mergeCell ref="A67:H67"/>
    <mergeCell ref="A6:G6"/>
    <mergeCell ref="A5:F5"/>
    <mergeCell ref="A18:B18"/>
    <mergeCell ref="A45:B45"/>
    <mergeCell ref="A13:B13"/>
    <mergeCell ref="A17:B17"/>
    <mergeCell ref="A32:B32"/>
    <mergeCell ref="A34:D34"/>
    <mergeCell ref="A20:B20"/>
    <mergeCell ref="A21:B21"/>
    <mergeCell ref="A50:B50"/>
    <mergeCell ref="A7:B7"/>
    <mergeCell ref="A12:B12"/>
    <mergeCell ref="A14:B14"/>
    <mergeCell ref="A16:B16"/>
    <mergeCell ref="A9:B9"/>
    <mergeCell ref="A11:B11"/>
    <mergeCell ref="A24:B24"/>
    <mergeCell ref="A23:B23"/>
    <mergeCell ref="A26:B26"/>
    <mergeCell ref="A59:B59"/>
    <mergeCell ref="A60:B60"/>
    <mergeCell ref="A88:H88"/>
    <mergeCell ref="A1:H1"/>
    <mergeCell ref="A2:H2"/>
    <mergeCell ref="A19:B19"/>
    <mergeCell ref="A15:B15"/>
    <mergeCell ref="A8:B8"/>
    <mergeCell ref="A10:B10"/>
    <mergeCell ref="A4:G4"/>
    <mergeCell ref="I466:I470"/>
    <mergeCell ref="A470:C470"/>
    <mergeCell ref="A465:C465"/>
    <mergeCell ref="A466:C466"/>
    <mergeCell ref="A467:C467"/>
    <mergeCell ref="A469:C469"/>
    <mergeCell ref="A56:B56"/>
    <mergeCell ref="A103:H103"/>
    <mergeCell ref="A468:C468"/>
    <mergeCell ref="A105:H105"/>
    <mergeCell ref="A71:H71"/>
    <mergeCell ref="A57:B57"/>
    <mergeCell ref="A69:H69"/>
    <mergeCell ref="A86:H86"/>
    <mergeCell ref="A66:H66"/>
    <mergeCell ref="A58:B58"/>
    <mergeCell ref="A463:I463"/>
    <mergeCell ref="A464:I464"/>
    <mergeCell ref="A229:H229"/>
    <mergeCell ref="A231:H231"/>
    <mergeCell ref="A324:H324"/>
    <mergeCell ref="A424:H424"/>
    <mergeCell ref="A404:H404"/>
    <mergeCell ref="A406:H406"/>
    <mergeCell ref="A345:H345"/>
    <mergeCell ref="A342:H342"/>
    <mergeCell ref="A246:G246"/>
    <mergeCell ref="A248:G248"/>
    <mergeCell ref="A263:G263"/>
    <mergeCell ref="A265:G265"/>
  </mergeCells>
  <printOptions horizontalCentered="1"/>
  <pageMargins left="0.25" right="0.25" top="0.5" bottom="0.25" header="0.25" footer="0.5"/>
  <pageSetup horizontalDpi="1200" verticalDpi="1200" orientation="landscape" pageOrder="overThenDown" scale="69" r:id="rId3"/>
  <rowBreaks count="8" manualBreakCount="8">
    <brk id="32" max="8" man="1"/>
    <brk id="65" max="8" man="1"/>
    <brk id="118" max="8" man="1"/>
    <brk id="156" max="8" man="1"/>
    <brk id="193" max="8" man="1"/>
    <brk id="301" max="8" man="1"/>
    <brk id="362" max="8" man="1"/>
    <brk id="422" max="8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workbookViewId="0" topLeftCell="A1">
      <selection activeCell="A1" sqref="A1:IV16384"/>
    </sheetView>
  </sheetViews>
  <sheetFormatPr defaultColWidth="9.140625" defaultRowHeight="12.75"/>
  <cols>
    <col min="1" max="1" width="17.421875" style="180" customWidth="1"/>
    <col min="2" max="2" width="18.00390625" style="180" customWidth="1"/>
    <col min="3" max="3" width="16.8515625" style="180" customWidth="1"/>
    <col min="4" max="4" width="21.140625" style="180" customWidth="1"/>
    <col min="5" max="5" width="16.57421875" style="180" customWidth="1"/>
    <col min="6" max="6" width="18.7109375" style="180" customWidth="1"/>
    <col min="7" max="7" width="16.57421875" style="180" customWidth="1"/>
    <col min="8" max="16384" width="9.140625" style="180" customWidth="1"/>
  </cols>
  <sheetData>
    <row r="1" spans="1:7" ht="12.75">
      <c r="A1" s="414" t="s">
        <v>214</v>
      </c>
      <c r="B1" s="414"/>
      <c r="C1" s="414"/>
      <c r="D1" s="414"/>
      <c r="E1" s="414"/>
      <c r="F1" s="414"/>
      <c r="G1" s="414"/>
    </row>
    <row r="3" spans="1:7" ht="12.75">
      <c r="A3" s="414" t="s">
        <v>245</v>
      </c>
      <c r="B3" s="414"/>
      <c r="C3" s="414"/>
      <c r="D3" s="414"/>
      <c r="E3" s="414"/>
      <c r="F3" s="414"/>
      <c r="G3" s="414"/>
    </row>
    <row r="4" spans="1:6" ht="12.75">
      <c r="A4" s="179"/>
      <c r="B4" s="179"/>
      <c r="C4" s="179"/>
      <c r="D4" s="179"/>
      <c r="E4" s="179"/>
      <c r="F4" s="179"/>
    </row>
    <row r="5" spans="1:6" ht="12.75">
      <c r="A5" s="181" t="s">
        <v>163</v>
      </c>
      <c r="B5" s="413" t="s">
        <v>204</v>
      </c>
      <c r="C5" s="413"/>
      <c r="D5" s="179"/>
      <c r="E5" s="179"/>
      <c r="F5" s="179"/>
    </row>
    <row r="6" spans="1:6" ht="12.75">
      <c r="A6" s="182"/>
      <c r="B6" s="182"/>
      <c r="C6" s="181"/>
      <c r="D6" s="179"/>
      <c r="E6" s="179"/>
      <c r="F6" s="179"/>
    </row>
    <row r="7" spans="1:6" ht="12.75">
      <c r="A7" s="182" t="s">
        <v>164</v>
      </c>
      <c r="B7" s="293">
        <v>1055200</v>
      </c>
      <c r="C7" s="182" t="s">
        <v>167</v>
      </c>
      <c r="D7" s="179"/>
      <c r="E7" s="179"/>
      <c r="F7" s="179"/>
    </row>
    <row r="8" spans="1:6" ht="12.75">
      <c r="A8" s="182" t="s">
        <v>165</v>
      </c>
      <c r="B8" s="293">
        <v>10000</v>
      </c>
      <c r="C8" s="182" t="s">
        <v>168</v>
      </c>
      <c r="D8" s="179"/>
      <c r="E8" s="179"/>
      <c r="F8" s="179"/>
    </row>
    <row r="9" spans="1:6" ht="12.75">
      <c r="A9" s="182" t="s">
        <v>166</v>
      </c>
      <c r="B9" s="293">
        <v>9200</v>
      </c>
      <c r="C9" s="182" t="s">
        <v>168</v>
      </c>
      <c r="D9" s="179"/>
      <c r="E9" s="179"/>
      <c r="F9" s="179"/>
    </row>
    <row r="10" spans="1:6" ht="12.75">
      <c r="A10" s="179"/>
      <c r="B10" s="179"/>
      <c r="C10" s="179"/>
      <c r="D10" s="179"/>
      <c r="E10" s="179"/>
      <c r="F10" s="179"/>
    </row>
    <row r="12" spans="1:7" ht="12.75">
      <c r="A12" s="181" t="s">
        <v>84</v>
      </c>
      <c r="B12" s="181" t="s">
        <v>85</v>
      </c>
      <c r="C12" s="181" t="s">
        <v>173</v>
      </c>
      <c r="D12" s="181" t="s">
        <v>86</v>
      </c>
      <c r="E12" s="181" t="str">
        <f>C12</f>
        <v>IN COMPLIANCE?</v>
      </c>
      <c r="F12" s="181" t="s">
        <v>87</v>
      </c>
      <c r="G12" s="181" t="str">
        <f>E12</f>
        <v>IN COMPLIANCE?</v>
      </c>
    </row>
    <row r="13" spans="1:7" ht="12.75">
      <c r="A13" s="181"/>
      <c r="B13" s="181" t="s">
        <v>88</v>
      </c>
      <c r="C13" s="181"/>
      <c r="D13" s="181" t="s">
        <v>89</v>
      </c>
      <c r="E13" s="181"/>
      <c r="F13" s="181" t="s">
        <v>89</v>
      </c>
      <c r="G13" s="183"/>
    </row>
    <row r="14" spans="1:7" ht="12.75">
      <c r="A14" s="184" t="s">
        <v>77</v>
      </c>
      <c r="B14" s="185">
        <f>'2010 USAGE SUMMARY'!B17+SUM('2009 USAGE'!B12:B22)</f>
        <v>601252.4632712415</v>
      </c>
      <c r="C14" s="185" t="str">
        <f>IF(B14&lt;$B$7,"YES"," NO")</f>
        <v>YES</v>
      </c>
      <c r="D14" s="186">
        <f>SUM('2009 USAGE'!C12:C22)+'2010 USAGE SUMMARY'!C17</f>
        <v>4570</v>
      </c>
      <c r="E14" s="186" t="str">
        <f>IF(D14&lt;$B$8,"YES","NO")</f>
        <v>YES</v>
      </c>
      <c r="F14" s="186">
        <f>SUM('2009 USAGE'!D12:D22)+'2010 USAGE SUMMARY'!D17</f>
        <v>4280</v>
      </c>
      <c r="G14" s="184" t="str">
        <f>IF(F14&lt;$B$9,"YES","NO")</f>
        <v>YES</v>
      </c>
    </row>
    <row r="15" spans="1:7" ht="12.75">
      <c r="A15" s="184" t="s">
        <v>27</v>
      </c>
      <c r="B15" s="185">
        <f>SUM('2009 USAGE'!B13:B22)+'2010 USAGE SUMMARY'!B17+'2010 USAGE SUMMARY'!B18</f>
        <v>592606.4926944118</v>
      </c>
      <c r="C15" s="185" t="str">
        <f aca="true" t="shared" si="0" ref="C15:C25">IF(B15&lt;$B$7,"YES"," NO")</f>
        <v>YES</v>
      </c>
      <c r="D15" s="186">
        <f>SUM('2009 USAGE'!C13:C22)+'2010 USAGE SUMMARY'!C17+'2010 USAGE SUMMARY'!C18</f>
        <v>4510</v>
      </c>
      <c r="E15" s="186" t="str">
        <f aca="true" t="shared" si="1" ref="E15:E25">IF(D15&lt;$B$8,"YES","NO")</f>
        <v>YES</v>
      </c>
      <c r="F15" s="186">
        <f>SUM('2009 USAGE'!D13:D22)+'2010 USAGE SUMMARY'!D17+'2010 USAGE SUMMARY'!D18</f>
        <v>4345</v>
      </c>
      <c r="G15" s="184" t="str">
        <f aca="true" t="shared" si="2" ref="G15:G25">IF(F15&lt;$B$9,"YES","NO")</f>
        <v>YES</v>
      </c>
    </row>
    <row r="16" spans="1:7" ht="12.75">
      <c r="A16" s="184" t="s">
        <v>28</v>
      </c>
      <c r="B16" s="185">
        <f>SUM('2009 USAGE'!B14:B22)+'2010 USAGE SUMMARY'!B17+'2010 USAGE SUMMARY'!B18+'2010 USAGE SUMMARY'!B19</f>
        <v>593354.873782979</v>
      </c>
      <c r="C16" s="185" t="str">
        <f t="shared" si="0"/>
        <v>YES</v>
      </c>
      <c r="D16" s="186">
        <f>SUM('2009 USAGE'!C14:C22)+'2010 USAGE SUMMARY'!C17+'2010 USAGE SUMMARY'!C18+'2010 USAGE SUMMARY'!C19</f>
        <v>4570</v>
      </c>
      <c r="E16" s="186" t="str">
        <f t="shared" si="1"/>
        <v>YES</v>
      </c>
      <c r="F16" s="186">
        <f>SUM('2009 USAGE'!D14:D22)+'2010 USAGE SUMMARY'!D17+'2010 USAGE SUMMARY'!D18+'2010 USAGE SUMMARY'!D19</f>
        <v>4465</v>
      </c>
      <c r="G16" s="184" t="str">
        <f t="shared" si="2"/>
        <v>YES</v>
      </c>
    </row>
    <row r="17" spans="1:7" ht="12.75">
      <c r="A17" s="184" t="s">
        <v>29</v>
      </c>
      <c r="B17" s="185">
        <f>SUM('2009 USAGE'!B15:B22)+'2010 USAGE SUMMARY'!B17+'2010 USAGE SUMMARY'!B18+'2010 USAGE SUMMARY'!B19+'2010 USAGE SUMMARY'!B20</f>
        <v>587510.3823142442</v>
      </c>
      <c r="C17" s="185" t="str">
        <f t="shared" si="0"/>
        <v>YES</v>
      </c>
      <c r="D17" s="186">
        <f>SUM('2009 USAGE'!C15:C22)+'2010 USAGE SUMMARY'!C17+'2010 USAGE SUMMARY'!C18+'2010 USAGE SUMMARY'!C19+'2010 USAGE SUMMARY'!C20</f>
        <v>4720</v>
      </c>
      <c r="E17" s="186" t="str">
        <f t="shared" si="1"/>
        <v>YES</v>
      </c>
      <c r="F17" s="186">
        <f>SUM('2009 USAGE'!D15:D22)+'2010 USAGE SUMMARY'!D17+'2010 USAGE SUMMARY'!D18+'2010 USAGE SUMMARY'!D19+'2010 USAGE SUMMARY'!D20</f>
        <v>4520</v>
      </c>
      <c r="G17" s="184" t="str">
        <f t="shared" si="2"/>
        <v>YES</v>
      </c>
    </row>
    <row r="18" spans="1:7" ht="12.75">
      <c r="A18" s="184" t="s">
        <v>30</v>
      </c>
      <c r="B18" s="185">
        <f>SUM('2009 USAGE'!B16:B22)+'2010 USAGE SUMMARY'!B17+'2010 USAGE SUMMARY'!B18+'2010 USAGE SUMMARY'!B19+'2010 USAGE SUMMARY'!B20+'2010 USAGE SUMMARY'!B21</f>
        <v>561801.3012222145</v>
      </c>
      <c r="C18" s="185" t="str">
        <f t="shared" si="0"/>
        <v>YES</v>
      </c>
      <c r="D18" s="186">
        <f>SUM('2009 USAGE'!C16:C22)+SUM('2010 USAGE SUMMARY'!C17:C21)</f>
        <v>4875</v>
      </c>
      <c r="E18" s="186" t="str">
        <f t="shared" si="1"/>
        <v>YES</v>
      </c>
      <c r="F18" s="186">
        <f>SUM('2009 USAGE'!D16:D22)+SUM('2010 USAGE SUMMARY'!D17:D21)</f>
        <v>4330</v>
      </c>
      <c r="G18" s="184" t="str">
        <f t="shared" si="2"/>
        <v>YES</v>
      </c>
    </row>
    <row r="19" spans="1:7" ht="12.75">
      <c r="A19" s="184" t="s">
        <v>31</v>
      </c>
      <c r="B19" s="185">
        <f>SUM('2009 USAGE'!B17:B22)+SUM('2010 USAGE SUMMARY'!B17:B22)</f>
        <v>546508.3856277266</v>
      </c>
      <c r="C19" s="185" t="str">
        <f t="shared" si="0"/>
        <v>YES</v>
      </c>
      <c r="D19" s="186">
        <f>SUM('2009 USAGE'!C17:C22)+SUM('2010 USAGE SUMMARY'!C17:C22)</f>
        <v>4985</v>
      </c>
      <c r="E19" s="186" t="str">
        <f t="shared" si="1"/>
        <v>YES</v>
      </c>
      <c r="F19" s="186">
        <f>SUM('2009 USAGE'!D17:D22)+SUM('2010 USAGE SUMMARY'!D17:D22)</f>
        <v>4520</v>
      </c>
      <c r="G19" s="184" t="str">
        <f t="shared" si="2"/>
        <v>YES</v>
      </c>
    </row>
    <row r="20" spans="1:7" ht="12.75">
      <c r="A20" s="184" t="s">
        <v>32</v>
      </c>
      <c r="B20" s="185">
        <f>SUM('2009 USAGE'!B18:B22)+SUM('2010 USAGE SUMMARY'!B17:B23)</f>
        <v>521685.75</v>
      </c>
      <c r="C20" s="185" t="str">
        <f t="shared" si="0"/>
        <v>YES</v>
      </c>
      <c r="D20" s="186">
        <f>SUM('2009 USAGE'!C18:C22)+SUM('2010 USAGE SUMMARY'!C17:C23)</f>
        <v>5275</v>
      </c>
      <c r="E20" s="186" t="str">
        <f t="shared" si="1"/>
        <v>YES</v>
      </c>
      <c r="F20" s="186">
        <f>SUM('2009 USAGE'!D18:D22)+SUM('2010 USAGE SUMMARY'!D17:D23)</f>
        <v>4230</v>
      </c>
      <c r="G20" s="184" t="str">
        <f t="shared" si="2"/>
        <v>YES</v>
      </c>
    </row>
    <row r="21" spans="1:7" ht="12.75">
      <c r="A21" s="184" t="s">
        <v>33</v>
      </c>
      <c r="B21" s="185">
        <f>SUM('2009 USAGE'!B19:B22)+SUM('2010 USAGE SUMMARY'!B17:B24)</f>
        <v>490121.15</v>
      </c>
      <c r="C21" s="185" t="str">
        <f t="shared" si="0"/>
        <v>YES</v>
      </c>
      <c r="D21" s="186">
        <f>SUM('2009 USAGE'!C19:C22)+SUM('2010 USAGE SUMMARY'!C17:C24)</f>
        <v>5220</v>
      </c>
      <c r="E21" s="186" t="str">
        <f t="shared" si="1"/>
        <v>YES</v>
      </c>
      <c r="F21" s="186">
        <f>SUM('2009 USAGE'!D19:D22)+SUM('2010 USAGE SUMMARY'!D17:D24)</f>
        <v>3765</v>
      </c>
      <c r="G21" s="184" t="str">
        <f t="shared" si="2"/>
        <v>YES</v>
      </c>
    </row>
    <row r="22" spans="1:7" ht="12.75">
      <c r="A22" s="184" t="s">
        <v>34</v>
      </c>
      <c r="B22" s="185">
        <f>SUM('2009 USAGE'!B20:B22)+SUM('2010 USAGE SUMMARY'!B17:B25)</f>
        <v>436508.65</v>
      </c>
      <c r="C22" s="185" t="str">
        <f t="shared" si="0"/>
        <v>YES</v>
      </c>
      <c r="D22" s="186">
        <f>SUM('2009 USAGE'!C20:C22)+SUM('2010 USAGE SUMMARY'!C17:C25)</f>
        <v>4700</v>
      </c>
      <c r="E22" s="186" t="str">
        <f t="shared" si="1"/>
        <v>YES</v>
      </c>
      <c r="F22" s="186">
        <f>SUM('2009 USAGE'!D20:D22)+SUM('2010 USAGE SUMMARY'!D17:D25)</f>
        <v>3570</v>
      </c>
      <c r="G22" s="184" t="str">
        <f t="shared" si="2"/>
        <v>YES</v>
      </c>
    </row>
    <row r="23" spans="1:7" ht="12.75">
      <c r="A23" s="184" t="s">
        <v>35</v>
      </c>
      <c r="B23" s="185">
        <f>SUM('2009 USAGE'!B21:B22)+SUM('2010 USAGE SUMMARY'!B17:B26)</f>
        <v>364027.85</v>
      </c>
      <c r="C23" s="185" t="str">
        <f t="shared" si="0"/>
        <v>YES</v>
      </c>
      <c r="D23" s="186">
        <f>SUM('2009 USAGE'!C21:C22)+SUM('2010 USAGE SUMMARY'!C17:C26)</f>
        <v>4270</v>
      </c>
      <c r="E23" s="186" t="str">
        <f t="shared" si="1"/>
        <v>YES</v>
      </c>
      <c r="F23" s="186">
        <f>SUM('2009 USAGE'!D21:D22)+SUM('2010 USAGE SUMMARY'!D17:D26)</f>
        <v>3210</v>
      </c>
      <c r="G23" s="184" t="str">
        <f t="shared" si="2"/>
        <v>YES</v>
      </c>
    </row>
    <row r="24" spans="1:7" ht="12.75">
      <c r="A24" s="184" t="s">
        <v>36</v>
      </c>
      <c r="B24" s="185">
        <f>'2009 USAGE'!B22+SUM('2010 USAGE SUMMARY'!B17:B27)</f>
        <v>277405.65</v>
      </c>
      <c r="C24" s="185" t="str">
        <f t="shared" si="0"/>
        <v>YES</v>
      </c>
      <c r="D24" s="186">
        <f>'2009 USAGE'!C22+SUM('2010 USAGE SUMMARY'!C17:C27)</f>
        <v>3635</v>
      </c>
      <c r="E24" s="186" t="str">
        <f t="shared" si="1"/>
        <v>YES</v>
      </c>
      <c r="F24" s="186">
        <f>'2009 USAGE'!D22+SUM('2010 USAGE SUMMARY'!D17:D27)</f>
        <v>2800</v>
      </c>
      <c r="G24" s="184" t="str">
        <f t="shared" si="2"/>
        <v>YES</v>
      </c>
    </row>
    <row r="25" spans="1:7" ht="12.75">
      <c r="A25" s="184" t="s">
        <v>37</v>
      </c>
      <c r="B25" s="185">
        <f>SUM('2010 USAGE SUMMARY'!B17:B28)</f>
        <v>230398.15</v>
      </c>
      <c r="C25" s="185" t="str">
        <f t="shared" si="0"/>
        <v>YES</v>
      </c>
      <c r="D25" s="186">
        <f>SUM('2010 USAGE SUMMARY'!C17:C28)</f>
        <v>2905</v>
      </c>
      <c r="E25" s="186" t="str">
        <f t="shared" si="1"/>
        <v>YES</v>
      </c>
      <c r="F25" s="186">
        <f>SUM('2010 USAGE SUMMARY'!D17:D28)</f>
        <v>2385</v>
      </c>
      <c r="G25" s="184" t="str">
        <f t="shared" si="2"/>
        <v>YES</v>
      </c>
    </row>
  </sheetData>
  <sheetProtection password="CDB2" sheet="1" objects="1" scenarios="1" selectLockedCells="1"/>
  <mergeCells count="3">
    <mergeCell ref="B5:C5"/>
    <mergeCell ref="A1:G1"/>
    <mergeCell ref="A3:G3"/>
  </mergeCells>
  <printOptions horizontalCentered="1"/>
  <pageMargins left="0.75" right="0.75" top="1" bottom="1" header="0.5" footer="0.5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Compliance Management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gregorys</cp:lastModifiedBy>
  <cp:lastPrinted>2010-08-20T14:34:34Z</cp:lastPrinted>
  <dcterms:created xsi:type="dcterms:W3CDTF">2005-08-22T20:32:41Z</dcterms:created>
  <dcterms:modified xsi:type="dcterms:W3CDTF">2010-09-15T19:06:33Z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