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3375" windowWidth="13680" windowHeight="5865" tabRatio="958" activeTab="1"/>
  </bookViews>
  <sheets>
    <sheet name="INSTRUCTIONS" sheetId="1" r:id="rId1"/>
    <sheet name="INPUT 1 - 2013 MATERIAL USAGE" sheetId="2" r:id="rId2"/>
    <sheet name="INPUT 2 - INK USAGE &amp; VOC 2013" sheetId="3" r:id="rId3"/>
    <sheet name="INPUT 3 - PRESS RUN HOURS" sheetId="4" r:id="rId4"/>
    <sheet name="INPUT 4 - SHEETFED USAGE &amp; EMIS" sheetId="5" r:id="rId5"/>
    <sheet name="2013 VOC HAP" sheetId="6" r:id="rId6"/>
    <sheet name="2013 USAGE SUMMARY EU#2,3,4" sheetId="7" r:id="rId7"/>
    <sheet name="2013 USAGE SUMMARY EU#5" sheetId="8" r:id="rId8"/>
    <sheet name="2013 VOC-HAP TRACKING " sheetId="9" r:id="rId9"/>
    <sheet name="2013 ROLLING USAGE EU#2,3,6" sheetId="10" r:id="rId10"/>
    <sheet name="2013 ROLLING USAGE- COMP EU#5" sheetId="11" r:id="rId11"/>
    <sheet name="2013 ROLLING VOC-HAP- COMP" sheetId="12" r:id="rId12"/>
    <sheet name="Ref-2012 USAGE" sheetId="13" r:id="rId13"/>
    <sheet name="Ref-2012 VOC HAP" sheetId="14" r:id="rId14"/>
    <sheet name="% PRODUCTION" sheetId="15" r:id="rId15"/>
    <sheet name="EMISSION FACTOR CALS" sheetId="16" r:id="rId16"/>
  </sheets>
  <definedNames>
    <definedName name="_xlnm.Print_Area" localSheetId="14">'% PRODUCTION'!$A$1:$N$19</definedName>
    <definedName name="_xlnm.Print_Area" localSheetId="10">'2013 ROLLING USAGE- COMP EU#5'!$A$1:$I$41</definedName>
    <definedName name="_xlnm.Print_Area" localSheetId="9">'2013 ROLLING USAGE EU#2,3,6'!$A$1:$G$27</definedName>
    <definedName name="_xlnm.Print_Area" localSheetId="11">'2013 ROLLING VOC-HAP- COMP'!$A$1:$E$35</definedName>
    <definedName name="_xlnm.Print_Area" localSheetId="8">'2013 VOC-HAP TRACKING '!$A$1:$I$504</definedName>
    <definedName name="_xlnm.Print_Area" localSheetId="1">'INPUT 1 - 2013 MATERIAL USAGE'!$A$1:$O$23</definedName>
    <definedName name="_xlnm.Print_Area" localSheetId="2">'INPUT 2 - INK USAGE &amp; VOC 2013'!$A$1:$F$32</definedName>
    <definedName name="_xlnm.Print_Area" localSheetId="3">'INPUT 3 - PRESS RUN HOURS'!$A$1:$N$18</definedName>
    <definedName name="_xlnm.Print_Area" localSheetId="4">'INPUT 4 - SHEETFED USAGE &amp; EMIS'!$A$1:$S$61</definedName>
    <definedName name="_xlnm.Print_Titles" localSheetId="3">'INPUT 3 - PRESS RUN HOURS'!$1:$2</definedName>
    <definedName name="Z_44E83A1F_7830_4C68_A7C5_1F61CB56D9BA_.wvu.Cols" localSheetId="8" hidden="1">'2013 VOC-HAP TRACKING '!$L:$L</definedName>
    <definedName name="Z_44E83A1F_7830_4C68_A7C5_1F61CB56D9BA_.wvu.Cols" localSheetId="3" hidden="1">'INPUT 3 - PRESS RUN HOURS'!$P:$U</definedName>
    <definedName name="Z_44E83A1F_7830_4C68_A7C5_1F61CB56D9BA_.wvu.Cols" localSheetId="4" hidden="1">'INPUT 4 - SHEETFED USAGE &amp; EMIS'!$O:$Q</definedName>
    <definedName name="Z_44E83A1F_7830_4C68_A7C5_1F61CB56D9BA_.wvu.PrintArea" localSheetId="8" hidden="1">'2013 VOC-HAP TRACKING '!$A$1:$H$467</definedName>
    <definedName name="Z_44E83A1F_7830_4C68_A7C5_1F61CB56D9BA_.wvu.PrintArea" localSheetId="2" hidden="1">'INPUT 2 - INK USAGE &amp; VOC 2013'!$A$1:$F$32</definedName>
    <definedName name="Z_44E83A1F_7830_4C68_A7C5_1F61CB56D9BA_.wvu.PrintArea" localSheetId="3" hidden="1">'INPUT 3 - PRESS RUN HOURS'!$A$1:$O$16</definedName>
    <definedName name="Z_44E83A1F_7830_4C68_A7C5_1F61CB56D9BA_.wvu.PrintTitles" localSheetId="3" hidden="1">'INPUT 3 - PRESS RUN HOURS'!$1:$2</definedName>
    <definedName name="Z_44E83A1F_7830_4C68_A7C5_1F61CB56D9BA_.wvu.Rows" localSheetId="4" hidden="1">'INPUT 4 - SHEETFED USAGE &amp; EMIS'!$44:$44,'INPUT 4 - SHEETFED USAGE &amp; EMIS'!$51:$58</definedName>
  </definedNames>
  <calcPr fullCalcOnLoad="1"/>
</workbook>
</file>

<file path=xl/comments16.xml><?xml version="1.0" encoding="utf-8"?>
<comments xmlns="http://schemas.openxmlformats.org/spreadsheetml/2006/main">
  <authors>
    <author> </author>
  </authors>
  <commentList>
    <comment ref="B10" authorId="0">
      <text>
        <r>
          <rPr>
            <b/>
            <sz val="8"/>
            <rFont val="Tahoma"/>
            <family val="0"/>
          </rPr>
          <t xml:space="preserve"> :
rag applied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E57" authorId="0">
      <text>
        <r>
          <rPr>
            <b/>
            <sz val="8"/>
            <rFont val="Tahoma"/>
            <family val="0"/>
          </rPr>
          <t xml:space="preserve"> :
Napthalene 
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C311" authorId="0">
      <text>
        <r>
          <rPr>
            <b/>
            <sz val="8"/>
            <rFont val="Tahoma"/>
            <family val="0"/>
          </rPr>
          <t xml:space="preserve"> :
INCLUDES GLYCOL ETHERS &amp; ETHYLENE GLYCOL
</t>
        </r>
      </text>
    </comment>
    <comment ref="C254" authorId="0">
      <text>
        <r>
          <rPr>
            <b/>
            <sz val="8"/>
            <rFont val="Tahoma"/>
            <family val="0"/>
          </rPr>
          <t xml:space="preserve"> :
VOC content obtained from Baldwin Engineer.</t>
        </r>
      </text>
    </comment>
    <comment ref="C237" authorId="0">
      <text>
        <r>
          <rPr>
            <b/>
            <sz val="8"/>
            <rFont val="Tahoma"/>
            <family val="0"/>
          </rPr>
          <t xml:space="preserve"> :
VOC content obtained from Baldwin Engineer.</t>
        </r>
      </text>
    </comment>
    <comment ref="C329" authorId="0">
      <text>
        <r>
          <rPr>
            <b/>
            <sz val="8"/>
            <rFont val="Tahoma"/>
            <family val="0"/>
          </rPr>
          <t xml:space="preserve"> :
INCLUDES GLYCOL ETHERS &amp; ETHYLENE GLYCOL
</t>
        </r>
      </text>
    </comment>
  </commentList>
</comments>
</file>

<file path=xl/sharedStrings.xml><?xml version="1.0" encoding="utf-8"?>
<sst xmlns="http://schemas.openxmlformats.org/spreadsheetml/2006/main" count="956" uniqueCount="267">
  <si>
    <t>MEDIA PRINTING CORPORATION - PERMIT NUMBER: 0112363-005-AO</t>
  </si>
  <si>
    <t>Lbs Ink &amp; Varnish Used</t>
  </si>
  <si>
    <t>Lbs VOC Used</t>
  </si>
  <si>
    <t>Emission Factor</t>
  </si>
  <si>
    <t>Lbs VOC Emitted</t>
  </si>
  <si>
    <t>Tons VOC Emitted</t>
  </si>
  <si>
    <t>Month &amp; Year</t>
  </si>
  <si>
    <t>Qty Used in Gallons</t>
  </si>
  <si>
    <t>Lbs VOC per Gallon</t>
  </si>
  <si>
    <t>Lbs Used</t>
  </si>
  <si>
    <t>Pounds VOCs Used</t>
  </si>
  <si>
    <t>Totals</t>
  </si>
  <si>
    <t>Percent Total HAPs</t>
  </si>
  <si>
    <t>Pounds HAPs Used</t>
  </si>
  <si>
    <t>Lbs HAPs Emitted</t>
  </si>
  <si>
    <t>Tons HAPs Emitted</t>
  </si>
  <si>
    <t>SOURCE</t>
  </si>
  <si>
    <t>Webfount 211 Fountain Solution</t>
  </si>
  <si>
    <t>Customer Product Desc</t>
  </si>
  <si>
    <t>PRESS 2 (EU #2)</t>
  </si>
  <si>
    <t>PRESS 3 (EU #3)</t>
  </si>
  <si>
    <t>TOTAL</t>
  </si>
  <si>
    <r>
      <t xml:space="preserve">12 MONTH ROLLING AVERAGE </t>
    </r>
    <r>
      <rPr>
        <b/>
        <u val="single"/>
        <sz val="9"/>
        <color indexed="10"/>
        <rFont val="Arial"/>
        <family val="2"/>
      </rPr>
      <t>HAP</t>
    </r>
    <r>
      <rPr>
        <b/>
        <sz val="9"/>
        <rFont val="Arial"/>
        <family val="2"/>
      </rPr>
      <t xml:space="preserve"> USE/EMISSIONS TRACKING BY RAW MATERIAL</t>
    </r>
  </si>
  <si>
    <t xml:space="preserve"> 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</si>
  <si>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</si>
  <si>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</si>
  <si>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</si>
  <si>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</si>
  <si>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</si>
  <si>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</si>
  <si>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</si>
  <si>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</si>
  <si>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</si>
  <si>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</si>
  <si>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</si>
  <si>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</si>
  <si>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</si>
  <si>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PRESS</t>
  </si>
  <si>
    <t>STATIONS</t>
  </si>
  <si>
    <t>WIDTH</t>
  </si>
  <si>
    <t>HOURS</t>
  </si>
  <si>
    <t>EU 002</t>
  </si>
  <si>
    <t>EU 003</t>
  </si>
  <si>
    <t>TOTALS</t>
  </si>
  <si>
    <t>LBS OF VOC USED</t>
  </si>
  <si>
    <t>EMISSION FACTOR</t>
  </si>
  <si>
    <t>CONTROL EFFICIENCY</t>
  </si>
  <si>
    <t xml:space="preserve">LBS VOC EMITTED </t>
  </si>
  <si>
    <t xml:space="preserve">TONS VOC EMITTED </t>
  </si>
  <si>
    <t>LBS EMITTED</t>
  </si>
  <si>
    <t>TONS EMITTED</t>
  </si>
  <si>
    <t>MEDIA PRINTING CORPORATION</t>
  </si>
  <si>
    <t>Facility ID:  0112363</t>
  </si>
  <si>
    <t>---</t>
  </si>
  <si>
    <t xml:space="preserve"> Blanket Wash MRC-F (6.83 lbs/gal)</t>
  </si>
  <si>
    <t>Webfount 211 (9.01 lb/gal)</t>
  </si>
  <si>
    <t>Blanket Wash MRC-F (6.83 lb/gal)</t>
  </si>
  <si>
    <t>INK/VARNISH USED IN LBS</t>
  </si>
  <si>
    <t>VOC EMISSION FROM FOUNTAIN SOL/WASH UP</t>
  </si>
  <si>
    <t>HAP EMISSION FROM  FOUNTAIN SOL/WASH UP</t>
  </si>
  <si>
    <t>MONTH/YEAR</t>
  </si>
  <si>
    <r>
      <t xml:space="preserve">BLANKET WASH &amp; FOUNTAIN SOLUTION - 12 MONTH </t>
    </r>
    <r>
      <rPr>
        <b/>
        <sz val="9"/>
        <color indexed="10"/>
        <rFont val="Arial"/>
        <family val="2"/>
      </rPr>
      <t xml:space="preserve"> </t>
    </r>
    <r>
      <rPr>
        <b/>
        <u val="single"/>
        <sz val="9"/>
        <color indexed="10"/>
        <rFont val="Arial"/>
        <family val="2"/>
      </rPr>
      <t>VOC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USE/EMISSIONS TRACKING</t>
    </r>
  </si>
  <si>
    <r>
      <t xml:space="preserve">12 MONTH  </t>
    </r>
    <r>
      <rPr>
        <b/>
        <u val="single"/>
        <sz val="9"/>
        <color indexed="10"/>
        <rFont val="Arial"/>
        <family val="2"/>
      </rPr>
      <t>HAP</t>
    </r>
    <r>
      <rPr>
        <b/>
        <sz val="9"/>
        <rFont val="Arial"/>
        <family val="2"/>
      </rPr>
      <t xml:space="preserve"> USE/EMISSIONS TRACKING BY RAW MATERIAL</t>
    </r>
  </si>
  <si>
    <t>Blanket Wash MRC-F</t>
  </si>
  <si>
    <t xml:space="preserve">TONS </t>
  </si>
  <si>
    <t>MONTH</t>
  </si>
  <si>
    <t xml:space="preserve">VOC TONS </t>
  </si>
  <si>
    <t xml:space="preserve">HAP TONS </t>
  </si>
  <si>
    <t xml:space="preserve">TOTAL </t>
  </si>
  <si>
    <t>LBS VOC USED</t>
  </si>
  <si>
    <t>TONS VOC USED</t>
  </si>
  <si>
    <t>Total Gals Blanket Wash:</t>
  </si>
  <si>
    <t>Total Gals Fountain Sol'n:</t>
  </si>
  <si>
    <t xml:space="preserve">Heatset Ink/Varnish </t>
  </si>
  <si>
    <t>NORMALIZED</t>
  </si>
  <si>
    <t xml:space="preserve">JAN </t>
  </si>
  <si>
    <t xml:space="preserve">MRC </t>
  </si>
  <si>
    <t>FOUNTAIN SOLUTION 211</t>
  </si>
  <si>
    <t xml:space="preserve"> MONTH </t>
  </si>
  <si>
    <t>INK</t>
  </si>
  <si>
    <t>FOUNTAIN SOLUTION</t>
  </si>
  <si>
    <t>WASH UP</t>
  </si>
  <si>
    <t xml:space="preserve">LBS </t>
  </si>
  <si>
    <t>GAL</t>
  </si>
  <si>
    <t>JUNE</t>
  </si>
  <si>
    <t>JULY</t>
  </si>
  <si>
    <t>Fountain Sol</t>
  </si>
  <si>
    <t>Wash ( Impact Washers)</t>
  </si>
  <si>
    <t>E1</t>
  </si>
  <si>
    <t>E2</t>
  </si>
  <si>
    <t>E3</t>
  </si>
  <si>
    <t>Emission factors (%)</t>
  </si>
  <si>
    <t xml:space="preserve">AUG </t>
  </si>
  <si>
    <t>PERCENT PRODUCTION</t>
  </si>
  <si>
    <t>2. ENTER THE VOC IN LBS FOR EACH MONTH INTO THE YELLOW CELLS</t>
  </si>
  <si>
    <t>1. ENTER THE RUN HOURS FOR EACH PRESS EACH MONTH INTO THE YELLOW CELLS.</t>
  </si>
  <si>
    <t>INSTRUCTIONS</t>
  </si>
  <si>
    <t>INPUT 3 - PRESS RUN HOURS</t>
  </si>
  <si>
    <t>1. ENTER INK/VARNISH USAGE INTO POUNDS IN THE YELLOW CELLS.</t>
  </si>
  <si>
    <t xml:space="preserve">MONTHS </t>
  </si>
  <si>
    <t xml:space="preserve">RUN HOURS </t>
  </si>
  <si>
    <t xml:space="preserve">Sheetfed Ink </t>
  </si>
  <si>
    <t xml:space="preserve">MATERIAL/MONTH </t>
  </si>
  <si>
    <t xml:space="preserve">MATERIAL SPECS </t>
  </si>
  <si>
    <t>VOC (LBS/GAL)</t>
  </si>
  <si>
    <t>VOC %</t>
  </si>
  <si>
    <t xml:space="preserve">HAP </t>
  </si>
  <si>
    <t>DEN (LBS/GAL)</t>
  </si>
  <si>
    <t>3451 U Fountain Solution (Gals)</t>
  </si>
  <si>
    <t>Alkaless 3000 (Gal)</t>
  </si>
  <si>
    <t>3451 U Fountain Solution (Lbs)</t>
  </si>
  <si>
    <t>Alkaless 3000 (Lbs)</t>
  </si>
  <si>
    <t>INPUT 4: SHEETFED USAGE &amp; EMISS</t>
  </si>
  <si>
    <t>1. ENTER THE RUN HOURS FOR THE SHEETFED PRESS</t>
  </si>
  <si>
    <t>2. ENTER MATERIAL USAGE FOR INK, FOUNTAIN SOLUTION AND WASH UP INTO THE YELLOW CELLS</t>
  </si>
  <si>
    <t>3451 U Fountain Solution</t>
  </si>
  <si>
    <t xml:space="preserve">Alkaless 3000 </t>
  </si>
  <si>
    <t>Total (Tons)</t>
  </si>
  <si>
    <t xml:space="preserve">3. THE ABOVE TWO NUMBERS FOR EACH MONTH CAN BE FOUND ON THE CUSTOMER VOC USAGE REPORT EMAILED FROM FLINT GROUP. </t>
  </si>
  <si>
    <t>Autowash 9000 (6.70 lb/gal)</t>
  </si>
  <si>
    <t xml:space="preserve"> Blanket Wash 9000 (6.50 lbs/gal)</t>
  </si>
  <si>
    <t>HAP EMISSIONS</t>
  </si>
  <si>
    <t xml:space="preserve">DJF </t>
  </si>
  <si>
    <t>MAM</t>
  </si>
  <si>
    <t>JJA</t>
  </si>
  <si>
    <t>SON</t>
  </si>
  <si>
    <t>BLANKET WASH 9000</t>
  </si>
  <si>
    <t>Blanket Wash 9000</t>
  </si>
  <si>
    <t>Blanket Wash 9000 (Gal)</t>
  </si>
  <si>
    <t>Blanket Wash 9000 (Lbs)</t>
  </si>
  <si>
    <t>Blanket 9000</t>
  </si>
  <si>
    <t>Alkaless 3000</t>
  </si>
  <si>
    <t>Sheetfed Ink</t>
  </si>
  <si>
    <t>TONS OF NAPTHALENE EMISSION</t>
  </si>
  <si>
    <t xml:space="preserve">WASH UP </t>
  </si>
  <si>
    <t>Gal</t>
  </si>
  <si>
    <t>Jan</t>
  </si>
  <si>
    <t xml:space="preserve">Month </t>
  </si>
  <si>
    <t xml:space="preserve">Feb </t>
  </si>
  <si>
    <t>mar</t>
  </si>
  <si>
    <t>Apr</t>
  </si>
  <si>
    <t>May</t>
  </si>
  <si>
    <t xml:space="preserve">June </t>
  </si>
  <si>
    <t xml:space="preserve">July </t>
  </si>
  <si>
    <t xml:space="preserve">Aug </t>
  </si>
  <si>
    <t>Sep</t>
  </si>
  <si>
    <t>Oct</t>
  </si>
  <si>
    <t xml:space="preserve">Nov </t>
  </si>
  <si>
    <t>Dec</t>
  </si>
  <si>
    <t>Feb</t>
  </si>
  <si>
    <t>Mar</t>
  </si>
  <si>
    <t>Jun</t>
  </si>
  <si>
    <t>Jul</t>
  </si>
  <si>
    <t>Aug</t>
  </si>
  <si>
    <t>Nov</t>
  </si>
  <si>
    <t xml:space="preserve">POLLUTANT </t>
  </si>
  <si>
    <t xml:space="preserve">PERMIT LIMIT </t>
  </si>
  <si>
    <t xml:space="preserve">Inks </t>
  </si>
  <si>
    <t>Fountain Solution</t>
  </si>
  <si>
    <t>Wash Up</t>
  </si>
  <si>
    <t xml:space="preserve">lbs </t>
  </si>
  <si>
    <t>gal</t>
  </si>
  <si>
    <t xml:space="preserve">VOC </t>
  </si>
  <si>
    <t xml:space="preserve">HAPS </t>
  </si>
  <si>
    <t xml:space="preserve">tons/yr </t>
  </si>
  <si>
    <t>PERMIT LIMIT - ROLLING 12 MONTH TOTAL</t>
  </si>
  <si>
    <t>IN COMPLIANCE?</t>
  </si>
  <si>
    <t>Sheetfed Ink (Lbs)</t>
  </si>
  <si>
    <t>Autowash 9000 (6.91 lb/gal)</t>
  </si>
  <si>
    <t>ETHYLENE GLYCOL
(TONS/YR)</t>
  </si>
  <si>
    <t>NAPTHALENE 
(TONS/YR)</t>
  </si>
  <si>
    <t>TOTAL
(TONS/YR)</t>
  </si>
  <si>
    <t>MEDIA PRINTING CORPORATION - PERMIT NUMBER: 0112363-008-AO</t>
  </si>
  <si>
    <t>Nicoat Coating (Lbs)</t>
  </si>
  <si>
    <t xml:space="preserve">Nicoat Coating </t>
  </si>
  <si>
    <t>Lbs Ink/Varn/Coat:</t>
  </si>
  <si>
    <t>INK/VARNISH/COATING</t>
  </si>
  <si>
    <t>EU#2  INK USAGE AND VOC EMISSION</t>
  </si>
  <si>
    <t>EU#3  INK USAGE AND VOC EMISSION</t>
  </si>
  <si>
    <t>EU#2 USAGE AND VOC EMISSION</t>
  </si>
  <si>
    <t>EU#3 USAGE AND VOC EMISSION</t>
  </si>
  <si>
    <t xml:space="preserve">EU#2 HAP EMISSION </t>
  </si>
  <si>
    <t xml:space="preserve">EU#3 HAP EMISSION </t>
  </si>
  <si>
    <r>
      <t xml:space="preserve">INKS/VARNISHES - TOTAL </t>
    </r>
    <r>
      <rPr>
        <b/>
        <u val="single"/>
        <sz val="9"/>
        <color indexed="10"/>
        <rFont val="Arial"/>
        <family val="2"/>
      </rPr>
      <t>VOC</t>
    </r>
    <r>
      <rPr>
        <b/>
        <sz val="9"/>
        <rFont val="Arial"/>
        <family val="2"/>
      </rPr>
      <t xml:space="preserve"> USE/EMISSIONS TRACKING</t>
    </r>
  </si>
  <si>
    <t>% PRODUCTION</t>
  </si>
  <si>
    <t>IN COMPLIANCE ?</t>
  </si>
  <si>
    <t>12 MONTH ROLLING  VOC EMISSION</t>
  </si>
  <si>
    <t>12 MONTH ROLLING HAP EMISION</t>
  </si>
  <si>
    <t>TOTAL INK/VARNISH/COATING  USAGE (YTD)</t>
  </si>
  <si>
    <t>TOTALWASH/FOUNTAIN USAGE (YTD)</t>
  </si>
  <si>
    <t>XYLENE 
(TONS/YR)</t>
  </si>
  <si>
    <t>DIETHYLENE GLYCOL BUTYL ETHER 
(TONS/YR)</t>
  </si>
  <si>
    <t xml:space="preserve">MEDIA PRINTING CORPORATION </t>
  </si>
  <si>
    <t xml:space="preserve">MEDIA PRINTING CORPORATION  </t>
  </si>
  <si>
    <t>TONS OF GLYCOL ETHER</t>
  </si>
  <si>
    <t>GLYCOL ETHER
(TONS/YR)</t>
  </si>
  <si>
    <t xml:space="preserve">Nicoat Coatings </t>
  </si>
  <si>
    <t>BALDWIN IMPACT CLOTH</t>
  </si>
  <si>
    <t>WASH BIK-1</t>
  </si>
  <si>
    <t xml:space="preserve">Nos. </t>
  </si>
  <si>
    <t>Nos.</t>
  </si>
  <si>
    <t xml:space="preserve"> Wash BIK-1 (6.82 lbs/gal)</t>
  </si>
  <si>
    <t xml:space="preserve">EU#2 USAGE AND EMISSION </t>
  </si>
  <si>
    <t>Lbs VOC in Each Roll</t>
  </si>
  <si>
    <t xml:space="preserve">Qty Used </t>
  </si>
  <si>
    <t xml:space="preserve">N/A </t>
  </si>
  <si>
    <t xml:space="preserve">Emission Factors </t>
  </si>
  <si>
    <t>1. ENTER USAGE FOR THE CHEMICALS ( BLANKET WASH 9000, MRC, FOUNTAIN SOLUTION 211,WASH BIK-1 &amp; BALDWIN) ON A MONTHLY BASIS INTO THE YELLOW CELLS.</t>
  </si>
  <si>
    <t>% Production</t>
  </si>
  <si>
    <t>INK USAGE (EU#2, EU#3, &amp; EU#5)</t>
  </si>
  <si>
    <t>(EU#2, EU#3 &amp; EU#5)</t>
  </si>
  <si>
    <t>EU 005</t>
  </si>
  <si>
    <t>EMERALD 2150</t>
  </si>
  <si>
    <t>Millennium 1000</t>
  </si>
  <si>
    <t>Millennium</t>
  </si>
  <si>
    <t>Millenium 1000 (Lbs)</t>
  </si>
  <si>
    <t>Millenium 1000 (Gals)</t>
  </si>
  <si>
    <t>PRESS 5 (EU #5)</t>
  </si>
  <si>
    <t>EU#5 USAGE AND VOC EMISSION</t>
  </si>
  <si>
    <t>EU#5 USAGE AND EMISSION</t>
  </si>
  <si>
    <t>EU#5 USAGE AND EMISSION (Wash BIK-1 used on only EU#5)</t>
  </si>
  <si>
    <t>Baldwin Impact Cloth  (Used on  EU#2 &amp; EU#5)</t>
  </si>
  <si>
    <t xml:space="preserve">EU#5 USAGE AND EMISSION </t>
  </si>
  <si>
    <t xml:space="preserve">EU#5 HAP EMISSION </t>
  </si>
  <si>
    <t>Emerald 2150 (8.84 lb/gal)</t>
  </si>
  <si>
    <t>Emerald 2150 (8.84 lbs/gal)</t>
  </si>
  <si>
    <t>EU#5 INK USAGE AND VOC EMISSION</t>
  </si>
  <si>
    <t>total</t>
  </si>
  <si>
    <t>12 MONTH ROLLING for EU2+EU3+EU4</t>
  </si>
  <si>
    <t>EU#2, EU#3, EU#4</t>
  </si>
  <si>
    <t>EU#5</t>
  </si>
  <si>
    <t>MAJESTA 733</t>
  </si>
  <si>
    <t>MAJESTA 733 (9.08 lb/gal)</t>
  </si>
  <si>
    <t>MAJESTA 733 (9.08 lbs/gal)</t>
  </si>
  <si>
    <t>Total Monthly HAP (TONS)</t>
  </si>
  <si>
    <t xml:space="preserve">VOC Emissions Breakdown by Press </t>
  </si>
  <si>
    <t>EU2</t>
  </si>
  <si>
    <t>EU3</t>
  </si>
  <si>
    <t>EU5</t>
  </si>
  <si>
    <t>Total</t>
  </si>
  <si>
    <t>VOC Rolling Totals by Press</t>
  </si>
  <si>
    <t xml:space="preserve">2013 MATERIAL USAGE </t>
  </si>
  <si>
    <t>***THIS SHEET DOES NOT COVER  INKS/VARNISH. PLEASE ENTER INK/VARNISH USAGE ON INPUT 2 - INK USAGE &amp; VOC 2013 (NEXT TAB)</t>
  </si>
  <si>
    <r>
      <t xml:space="preserve">INK USAGE AND VOC: </t>
    </r>
    <r>
      <rPr>
        <b/>
        <sz val="10"/>
        <color indexed="10"/>
        <rFont val="Arial"/>
        <family val="2"/>
      </rPr>
      <t>JAN 2013 TO DEC 2013</t>
    </r>
  </si>
  <si>
    <t xml:space="preserve">MEDIA PRINTING - 2013 PRESS RUN HOURS </t>
  </si>
  <si>
    <t xml:space="preserve"> MONTHLY VOC &amp; HAP EMISSION (JAN 2013 - DEC 2013)</t>
  </si>
  <si>
    <t>EU#2, EU#3 &amp; EU#5</t>
  </si>
  <si>
    <t xml:space="preserve">EU#6 RUN HOURS </t>
  </si>
  <si>
    <t xml:space="preserve">EU#6 MATERIAL USAGE </t>
  </si>
  <si>
    <t xml:space="preserve">EU#6 VOC EMISSION </t>
  </si>
  <si>
    <t xml:space="preserve">EU#6 HAP EMISSION </t>
  </si>
  <si>
    <t xml:space="preserve">MEDIA PRINTING - E006 HEIDELBERG CD SHEETFED MATERIAL USAGE &amp; VOC/HAP TRACKING </t>
  </si>
  <si>
    <t>EU#2, EU#3, EU#5 &amp; EU#6</t>
  </si>
  <si>
    <t xml:space="preserve">2013 MONTHLY INK/VARN/COAT, FOUNTAIN SOLUTION AND WASH UP USAGE </t>
  </si>
  <si>
    <t xml:space="preserve"> SUMMARY OF USAGE (JAN 2013 - DEC 2013)</t>
  </si>
  <si>
    <t>EU#2, EU#3 &amp; EU#4</t>
  </si>
  <si>
    <t>2013 INDIVIDUAL HAP EMISSIONS</t>
  </si>
  <si>
    <t xml:space="preserve"> MONTHLY SUMMARY OF VOC &amp; HAP USAGE AND EMISSIONS (JAN 2013- DEC 2013)</t>
  </si>
  <si>
    <t xml:space="preserve">2013 VOC / HAP EMISSION FROM FOUNTAIN SOLUTION AND CLEAN UP </t>
  </si>
  <si>
    <t>EU6</t>
  </si>
  <si>
    <t xml:space="preserve">2013 ROLLING INK, FOUNTAIN SOLUTION AND WASH UP USAGE </t>
  </si>
  <si>
    <t>12 MONTH ROLLING for EU2+EU3+EU6</t>
  </si>
  <si>
    <r>
      <t xml:space="preserve">12 MONTH ROLLING  VOC &amp; HAP EMISSION </t>
    </r>
    <r>
      <rPr>
        <b/>
        <sz val="9"/>
        <color indexed="10"/>
        <rFont val="Arial"/>
        <family val="2"/>
      </rPr>
      <t>(JAN 2013 - DEC 2013)</t>
    </r>
  </si>
  <si>
    <t xml:space="preserve">2012 MONTHLY INK, FOUNTAIN SOLUTION AND WASH UP USAGE </t>
  </si>
  <si>
    <r>
      <t xml:space="preserve">MONTHLY  VOC &amp; HAP EMISSION </t>
    </r>
    <r>
      <rPr>
        <b/>
        <sz val="9"/>
        <color indexed="10"/>
        <rFont val="Arial"/>
        <family val="2"/>
      </rPr>
      <t>(JAN 2012 - DEC 2012)</t>
    </r>
  </si>
  <si>
    <t>INPUT 1 - 2013 MATERIAL USAGE ( THIS SHEET DOES NOT COVER  INKS/VARNISH. PLEASE ENTER INK/VARNISH USAGE ON INPUT 2 - INK USAGE &amp; VOC 2013)</t>
  </si>
  <si>
    <t>INPUT 2 - INK USAGE &amp; VOC 2013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</si>
</sst>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;;"/>
    <numFmt numFmtId="165" formatCode="[$-409]dddd\,\ mmmm\ dd\,\ yyyy"/>
    <numFmt numFmtId="166" formatCode="mm/dd/yy;@"/>
    <numFmt numFmtId="167" formatCode="mm/dd/yyyy"/>
    <numFmt numFmtId="168" formatCode="dd\-mmm\-yy"/>
    <numFmt numFmtId="169" formatCode="#,##0.0"/>
    <numFmt numFmtId="170" formatCode="00000"/>
    <numFmt numFmtId="171" formatCode="[$-409]mmm\-yy;@"/>
    <numFmt numFmtId="172" formatCode="0.0000"/>
    <numFmt numFmtId="173" formatCode="0.00000"/>
    <numFmt numFmtId="174" formatCode="_(* #,##0.0000_);_(* \(#,##0.0000\);_(* &quot;-&quot;??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mmmm\-yy;@"/>
    <numFmt numFmtId="180" formatCode="#,##0.0000"/>
    <numFmt numFmtId="181" formatCode="_(* #,##0_);_(* \(#,##0\);_(* &quot;-&quot;??_);_(@_)"/>
    <numFmt numFmtId="182" formatCode="0.000"/>
    <numFmt numFmtId="183" formatCode="0.0"/>
    <numFmt numFmtId="184" formatCode="0.000000"/>
    <numFmt numFmtId="185" formatCode="0.0000000"/>
    <numFmt numFmtId="186" formatCode="_(* #,##0.0_);_(* \(#,##0.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0.00000000"/>
    <numFmt numFmtId="190" formatCode="#,##0.000"/>
    <numFmt numFmtId="191" formatCode="0.0%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</numFmts>
  <fonts count="5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u val="single"/>
      <sz val="9"/>
      <color indexed="10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4"/>
      <name val="Arial"/>
      <family val="2"/>
    </font>
    <font>
      <b/>
      <sz val="10"/>
      <color indexed="8"/>
      <name val="Verdana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9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72" fontId="5" fillId="0" borderId="12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43" fontId="4" fillId="0" borderId="13" xfId="42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3" fontId="4" fillId="0" borderId="15" xfId="42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12" xfId="0" applyFont="1" applyBorder="1" applyAlignment="1">
      <alignment/>
    </xf>
    <xf numFmtId="4" fontId="0" fillId="0" borderId="12" xfId="0" applyNumberForma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43" fontId="9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3" fontId="4" fillId="0" borderId="0" xfId="42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3" fontId="4" fillId="0" borderId="16" xfId="42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0" borderId="17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172" fontId="5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18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182" fontId="4" fillId="0" borderId="24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9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2" fontId="9" fillId="0" borderId="12" xfId="0" applyNumberFormat="1" applyFont="1" applyBorder="1" applyAlignment="1">
      <alignment horizontal="center" vertical="center" wrapText="1"/>
    </xf>
    <xf numFmtId="43" fontId="0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182" fontId="9" fillId="0" borderId="0" xfId="0" applyNumberFormat="1" applyFont="1" applyBorder="1" applyAlignment="1">
      <alignment horizontal="center"/>
    </xf>
    <xf numFmtId="0" fontId="9" fillId="0" borderId="12" xfId="0" applyFont="1" applyFill="1" applyBorder="1" applyAlignment="1">
      <alignment/>
    </xf>
    <xf numFmtId="43" fontId="14" fillId="0" borderId="0" xfId="0" applyNumberFormat="1" applyFont="1" applyBorder="1" applyAlignment="1">
      <alignment horizontal="center"/>
    </xf>
    <xf numFmtId="43" fontId="4" fillId="0" borderId="12" xfId="42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4" fontId="9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43" fontId="9" fillId="0" borderId="12" xfId="42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9" fontId="9" fillId="0" borderId="12" xfId="0" applyNumberFormat="1" applyFont="1" applyBorder="1" applyAlignment="1" applyProtection="1">
      <alignment horizontal="center" vertical="top"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4" fontId="0" fillId="0" borderId="12" xfId="0" applyNumberFormat="1" applyBorder="1" applyAlignment="1" applyProtection="1">
      <alignment horizontal="center"/>
      <protection/>
    </xf>
    <xf numFmtId="4" fontId="9" fillId="0" borderId="12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4" fontId="9" fillId="0" borderId="12" xfId="42" applyNumberFormat="1" applyFont="1" applyBorder="1" applyAlignment="1" applyProtection="1">
      <alignment horizontal="center" vertical="center" wrapText="1"/>
      <protection/>
    </xf>
    <xf numFmtId="10" fontId="9" fillId="0" borderId="12" xfId="0" applyNumberFormat="1" applyFont="1" applyBorder="1" applyAlignment="1" applyProtection="1">
      <alignment horizontal="center" vertical="top" wrapText="1"/>
      <protection/>
    </xf>
    <xf numFmtId="2" fontId="9" fillId="0" borderId="12" xfId="0" applyNumberFormat="1" applyFont="1" applyBorder="1" applyAlignment="1" applyProtection="1">
      <alignment horizontal="center" wrapText="1"/>
      <protection/>
    </xf>
    <xf numFmtId="10" fontId="0" fillId="0" borderId="12" xfId="0" applyNumberFormat="1" applyBorder="1" applyAlignment="1" applyProtection="1">
      <alignment horizontal="center"/>
      <protection/>
    </xf>
    <xf numFmtId="180" fontId="0" fillId="0" borderId="12" xfId="0" applyNumberFormat="1" applyBorder="1" applyAlignment="1" applyProtection="1">
      <alignment horizontal="center"/>
      <protection/>
    </xf>
    <xf numFmtId="180" fontId="9" fillId="0" borderId="12" xfId="0" applyNumberFormat="1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10" fontId="0" fillId="0" borderId="0" xfId="0" applyNumberFormat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4" fontId="0" fillId="0" borderId="25" xfId="0" applyNumberFormat="1" applyBorder="1" applyAlignment="1" applyProtection="1">
      <alignment horizontal="center"/>
      <protection/>
    </xf>
    <xf numFmtId="10" fontId="0" fillId="0" borderId="25" xfId="0" applyNumberFormat="1" applyBorder="1" applyAlignment="1" applyProtection="1">
      <alignment horizontal="center"/>
      <protection/>
    </xf>
    <xf numFmtId="180" fontId="0" fillId="0" borderId="25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 horizontal="center"/>
      <protection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90" fontId="0" fillId="0" borderId="12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0" fillId="33" borderId="12" xfId="0" applyNumberFormat="1" applyFill="1" applyBorder="1" applyAlignment="1" applyProtection="1">
      <alignment horizontal="center"/>
      <protection locked="0"/>
    </xf>
    <xf numFmtId="2" fontId="5" fillId="0" borderId="1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16" fontId="9" fillId="0" borderId="12" xfId="0" applyNumberFormat="1" applyFont="1" applyBorder="1" applyAlignment="1" applyProtection="1">
      <alignment horizontal="center" vertical="center"/>
      <protection/>
    </xf>
    <xf numFmtId="190" fontId="9" fillId="0" borderId="12" xfId="0" applyNumberFormat="1" applyFont="1" applyBorder="1" applyAlignment="1" applyProtection="1">
      <alignment horizontal="center"/>
      <protection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9" fillId="0" borderId="12" xfId="0" applyNumberFormat="1" applyFont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190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/>
    </xf>
    <xf numFmtId="4" fontId="9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6" fontId="9" fillId="0" borderId="12" xfId="0" applyNumberFormat="1" applyFont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 locked="0"/>
    </xf>
    <xf numFmtId="2" fontId="0" fillId="33" borderId="1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72" fontId="5" fillId="0" borderId="12" xfId="0" applyNumberFormat="1" applyFont="1" applyBorder="1" applyAlignment="1">
      <alignment horizontal="center"/>
    </xf>
    <xf numFmtId="4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0" fillId="0" borderId="12" xfId="0" applyNumberFormat="1" applyFont="1" applyBorder="1" applyAlignment="1" applyProtection="1" quotePrefix="1">
      <alignment horizontal="center"/>
      <protection/>
    </xf>
    <xf numFmtId="10" fontId="0" fillId="0" borderId="12" xfId="0" applyNumberFormat="1" applyFont="1" applyBorder="1" applyAlignment="1" applyProtection="1">
      <alignment horizontal="center"/>
      <protection/>
    </xf>
    <xf numFmtId="4" fontId="7" fillId="0" borderId="16" xfId="0" applyNumberFormat="1" applyFont="1" applyFill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4" fontId="4" fillId="0" borderId="16" xfId="0" applyNumberFormat="1" applyFont="1" applyFill="1" applyBorder="1" applyAlignment="1" applyProtection="1">
      <alignment horizontal="center"/>
      <protection/>
    </xf>
    <xf numFmtId="3" fontId="4" fillId="0" borderId="16" xfId="0" applyNumberFormat="1" applyFont="1" applyBorder="1" applyAlignment="1" applyProtection="1">
      <alignment horizontal="center"/>
      <protection/>
    </xf>
    <xf numFmtId="172" fontId="0" fillId="0" borderId="12" xfId="0" applyNumberFormat="1" applyBorder="1" applyAlignment="1" applyProtection="1">
      <alignment horizontal="center"/>
      <protection/>
    </xf>
    <xf numFmtId="182" fontId="0" fillId="0" borderId="12" xfId="0" applyNumberFormat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3" fontId="0" fillId="0" borderId="12" xfId="0" applyNumberForma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/>
      <protection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/>
    </xf>
    <xf numFmtId="3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24" xfId="0" applyFont="1" applyBorder="1" applyAlignment="1">
      <alignment/>
    </xf>
    <xf numFmtId="4" fontId="0" fillId="0" borderId="12" xfId="0" applyNumberFormat="1" applyBorder="1" applyAlignment="1" quotePrefix="1">
      <alignment horizontal="center"/>
    </xf>
    <xf numFmtId="4" fontId="5" fillId="0" borderId="12" xfId="42" applyNumberFormat="1" applyFont="1" applyBorder="1" applyAlignment="1" quotePrefix="1">
      <alignment horizontal="center"/>
    </xf>
    <xf numFmtId="4" fontId="9" fillId="0" borderId="12" xfId="0" applyNumberFormat="1" applyFont="1" applyFill="1" applyBorder="1" applyAlignment="1" quotePrefix="1">
      <alignment horizontal="center"/>
    </xf>
    <xf numFmtId="2" fontId="9" fillId="0" borderId="12" xfId="0" applyNumberFormat="1" applyFont="1" applyBorder="1" applyAlignment="1" applyProtection="1">
      <alignment horizontal="center"/>
      <protection/>
    </xf>
    <xf numFmtId="39" fontId="5" fillId="0" borderId="12" xfId="0" applyNumberFormat="1" applyFont="1" applyBorder="1" applyAlignment="1">
      <alignment horizontal="center"/>
    </xf>
    <xf numFmtId="39" fontId="5" fillId="0" borderId="12" xfId="0" applyNumberFormat="1" applyFont="1" applyBorder="1" applyAlignment="1" applyProtection="1">
      <alignment horizontal="center"/>
      <protection locked="0"/>
    </xf>
    <xf numFmtId="4" fontId="5" fillId="0" borderId="12" xfId="0" applyNumberFormat="1" applyFont="1" applyBorder="1" applyAlignment="1" applyProtection="1">
      <alignment horizontal="center"/>
      <protection hidden="1"/>
    </xf>
    <xf numFmtId="4" fontId="0" fillId="0" borderId="0" xfId="0" applyNumberFormat="1" applyAlignment="1">
      <alignment horizontal="center"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190" fontId="0" fillId="0" borderId="0" xfId="0" applyNumberFormat="1" applyAlignment="1" applyProtection="1">
      <alignment/>
      <protection/>
    </xf>
    <xf numFmtId="4" fontId="24" fillId="0" borderId="0" xfId="0" applyNumberFormat="1" applyFont="1" applyAlignment="1" applyProtection="1">
      <alignment/>
      <protection/>
    </xf>
    <xf numFmtId="2" fontId="24" fillId="0" borderId="0" xfId="0" applyNumberFormat="1" applyFont="1" applyAlignment="1" applyProtection="1">
      <alignment/>
      <protection/>
    </xf>
    <xf numFmtId="2" fontId="24" fillId="0" borderId="0" xfId="0" applyNumberFormat="1" applyFont="1" applyAlignment="1" applyProtection="1">
      <alignment horizontal="center"/>
      <protection/>
    </xf>
    <xf numFmtId="190" fontId="5" fillId="0" borderId="12" xfId="42" applyNumberFormat="1" applyFont="1" applyBorder="1" applyAlignment="1" quotePrefix="1">
      <alignment horizontal="center"/>
    </xf>
    <xf numFmtId="190" fontId="9" fillId="0" borderId="12" xfId="0" applyNumberFormat="1" applyFont="1" applyFill="1" applyBorder="1" applyAlignment="1" quotePrefix="1">
      <alignment horizontal="center"/>
    </xf>
    <xf numFmtId="2" fontId="4" fillId="0" borderId="24" xfId="0" applyNumberFormat="1" applyFont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/>
    </xf>
    <xf numFmtId="172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6" fillId="0" borderId="10" xfId="0" applyFont="1" applyBorder="1" applyAlignment="1" applyProtection="1">
      <alignment horizontal="left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 wrapText="1"/>
      <protection/>
    </xf>
    <xf numFmtId="0" fontId="9" fillId="0" borderId="10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9" fontId="4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9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3" fontId="9" fillId="0" borderId="12" xfId="0" applyNumberFormat="1" applyFont="1" applyBorder="1" applyAlignment="1" applyProtection="1">
      <alignment horizontal="center"/>
      <protection/>
    </xf>
    <xf numFmtId="3" fontId="4" fillId="0" borderId="12" xfId="0" applyNumberFormat="1" applyFont="1" applyBorder="1" applyAlignment="1" applyProtection="1">
      <alignment horizontal="center"/>
      <protection/>
    </xf>
    <xf numFmtId="0" fontId="17" fillId="0" borderId="0" xfId="0" applyFont="1" applyFill="1" applyAlignment="1">
      <alignment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left"/>
    </xf>
    <xf numFmtId="0" fontId="19" fillId="0" borderId="12" xfId="42" applyNumberFormat="1" applyFont="1" applyFill="1" applyBorder="1" applyAlignment="1" quotePrefix="1">
      <alignment horizontal="center"/>
    </xf>
    <xf numFmtId="169" fontId="19" fillId="0" borderId="12" xfId="42" applyNumberFormat="1" applyFont="1" applyFill="1" applyBorder="1" applyAlignment="1">
      <alignment horizontal="center"/>
    </xf>
    <xf numFmtId="3" fontId="19" fillId="0" borderId="12" xfId="0" applyNumberFormat="1" applyFont="1" applyFill="1" applyBorder="1" applyAlignment="1" quotePrefix="1">
      <alignment horizontal="center"/>
    </xf>
    <xf numFmtId="0" fontId="19" fillId="0" borderId="33" xfId="0" applyNumberFormat="1" applyFont="1" applyFill="1" applyBorder="1" applyAlignment="1" quotePrefix="1">
      <alignment horizontal="center"/>
    </xf>
    <xf numFmtId="10" fontId="19" fillId="0" borderId="34" xfId="0" applyNumberFormat="1" applyFont="1" applyFill="1" applyBorder="1" applyAlignment="1">
      <alignment horizontal="center"/>
    </xf>
    <xf numFmtId="169" fontId="19" fillId="0" borderId="12" xfId="42" applyNumberFormat="1" applyFont="1" applyFill="1" applyBorder="1" applyAlignment="1" quotePrefix="1">
      <alignment horizontal="center"/>
    </xf>
    <xf numFmtId="3" fontId="19" fillId="0" borderId="12" xfId="42" applyNumberFormat="1" applyFont="1" applyFill="1" applyBorder="1" applyAlignment="1" quotePrefix="1">
      <alignment horizontal="center"/>
    </xf>
    <xf numFmtId="0" fontId="19" fillId="0" borderId="33" xfId="42" applyNumberFormat="1" applyFont="1" applyFill="1" applyBorder="1" applyAlignment="1" quotePrefix="1">
      <alignment horizontal="center"/>
    </xf>
    <xf numFmtId="0" fontId="19" fillId="0" borderId="12" xfId="42" applyNumberFormat="1" applyFont="1" applyFill="1" applyBorder="1" applyAlignment="1">
      <alignment horizontal="center"/>
    </xf>
    <xf numFmtId="0" fontId="13" fillId="0" borderId="35" xfId="0" applyFont="1" applyFill="1" applyBorder="1" applyAlignment="1">
      <alignment horizontal="left"/>
    </xf>
    <xf numFmtId="181" fontId="13" fillId="0" borderId="36" xfId="42" applyNumberFormat="1" applyFont="1" applyFill="1" applyBorder="1" applyAlignment="1" applyProtection="1" quotePrefix="1">
      <alignment horizontal="center"/>
      <protection locked="0"/>
    </xf>
    <xf numFmtId="181" fontId="13" fillId="0" borderId="36" xfId="42" applyNumberFormat="1" applyFont="1" applyFill="1" applyBorder="1" applyAlignment="1" quotePrefix="1">
      <alignment horizontal="center"/>
    </xf>
    <xf numFmtId="3" fontId="13" fillId="0" borderId="36" xfId="0" applyNumberFormat="1" applyFont="1" applyFill="1" applyBorder="1" applyAlignment="1" quotePrefix="1">
      <alignment horizontal="center"/>
    </xf>
    <xf numFmtId="3" fontId="13" fillId="0" borderId="37" xfId="0" applyNumberFormat="1" applyFont="1" applyFill="1" applyBorder="1" applyAlignment="1" quotePrefix="1">
      <alignment horizontal="center"/>
    </xf>
    <xf numFmtId="10" fontId="13" fillId="0" borderId="38" xfId="0" applyNumberFormat="1" applyFont="1" applyFill="1" applyBorder="1" applyAlignment="1">
      <alignment horizontal="center"/>
    </xf>
    <xf numFmtId="181" fontId="13" fillId="0" borderId="36" xfId="42" applyNumberFormat="1" applyFont="1" applyFill="1" applyBorder="1" applyAlignment="1" applyProtection="1">
      <alignment horizontal="center"/>
      <protection locked="0"/>
    </xf>
    <xf numFmtId="181" fontId="13" fillId="0" borderId="36" xfId="42" applyNumberFormat="1" applyFont="1" applyFill="1" applyBorder="1" applyAlignment="1">
      <alignment horizontal="center"/>
    </xf>
    <xf numFmtId="10" fontId="17" fillId="0" borderId="0" xfId="0" applyNumberFormat="1" applyFont="1" applyFill="1" applyAlignment="1">
      <alignment/>
    </xf>
    <xf numFmtId="9" fontId="5" fillId="0" borderId="12" xfId="59" applyFont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9" fontId="0" fillId="34" borderId="0" xfId="0" applyNumberFormat="1" applyFill="1" applyAlignment="1">
      <alignment/>
    </xf>
    <xf numFmtId="10" fontId="0" fillId="0" borderId="12" xfId="0" applyNumberFormat="1" applyFont="1" applyBorder="1" applyAlignment="1" applyProtection="1" quotePrefix="1">
      <alignment horizontal="center"/>
      <protection/>
    </xf>
    <xf numFmtId="172" fontId="0" fillId="0" borderId="0" xfId="0" applyNumberFormat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center"/>
      <protection/>
    </xf>
    <xf numFmtId="2" fontId="0" fillId="33" borderId="12" xfId="0" applyNumberFormat="1" applyFill="1" applyBorder="1" applyAlignment="1" applyProtection="1">
      <alignment horizontal="center"/>
      <protection/>
    </xf>
    <xf numFmtId="191" fontId="5" fillId="0" borderId="0" xfId="0" applyNumberFormat="1" applyFont="1" applyBorder="1" applyAlignment="1">
      <alignment horizontal="center"/>
    </xf>
    <xf numFmtId="3" fontId="0" fillId="33" borderId="12" xfId="0" applyNumberFormat="1" applyFont="1" applyFill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 horizontal="center"/>
      <protection/>
    </xf>
    <xf numFmtId="1" fontId="0" fillId="33" borderId="12" xfId="0" applyNumberFormat="1" applyFill="1" applyBorder="1" applyAlignment="1" applyProtection="1">
      <alignment horizontal="center"/>
      <protection/>
    </xf>
    <xf numFmtId="180" fontId="0" fillId="0" borderId="0" xfId="0" applyNumberFormat="1" applyAlignment="1" applyProtection="1">
      <alignment/>
      <protection/>
    </xf>
    <xf numFmtId="0" fontId="0" fillId="0" borderId="3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9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3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33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9" fillId="0" borderId="47" xfId="0" applyFont="1" applyBorder="1" applyAlignment="1">
      <alignment/>
    </xf>
    <xf numFmtId="172" fontId="0" fillId="0" borderId="15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172" fontId="0" fillId="0" borderId="48" xfId="0" applyNumberFormat="1" applyBorder="1" applyAlignment="1">
      <alignment horizontal="center"/>
    </xf>
    <xf numFmtId="172" fontId="0" fillId="0" borderId="49" xfId="0" applyNumberFormat="1" applyBorder="1" applyAlignment="1">
      <alignment horizontal="center"/>
    </xf>
    <xf numFmtId="172" fontId="0" fillId="0" borderId="50" xfId="0" applyNumberFormat="1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172" fontId="0" fillId="0" borderId="52" xfId="0" applyNumberFormat="1" applyBorder="1" applyAlignment="1">
      <alignment horizontal="center"/>
    </xf>
    <xf numFmtId="172" fontId="0" fillId="0" borderId="53" xfId="0" applyNumberFormat="1" applyBorder="1" applyAlignment="1">
      <alignment horizontal="center"/>
    </xf>
    <xf numFmtId="172" fontId="0" fillId="0" borderId="54" xfId="0" applyNumberForma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72" fontId="0" fillId="0" borderId="55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72" fontId="0" fillId="0" borderId="33" xfId="0" applyNumberForma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19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/>
      <protection/>
    </xf>
    <xf numFmtId="0" fontId="20" fillId="35" borderId="0" xfId="0" applyFont="1" applyFill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15" fillId="0" borderId="0" xfId="0" applyFont="1" applyBorder="1" applyAlignment="1" applyProtection="1">
      <alignment horizontal="left" wrapText="1"/>
      <protection/>
    </xf>
    <xf numFmtId="0" fontId="15" fillId="0" borderId="19" xfId="0" applyFont="1" applyBorder="1" applyAlignment="1" applyProtection="1">
      <alignment horizontal="left" wrapText="1"/>
      <protection/>
    </xf>
    <xf numFmtId="0" fontId="9" fillId="0" borderId="40" xfId="0" applyFont="1" applyBorder="1" applyAlignment="1" applyProtection="1">
      <alignment horizontal="left" vertical="center" wrapText="1"/>
      <protection/>
    </xf>
    <xf numFmtId="0" fontId="9" fillId="0" borderId="41" xfId="0" applyFont="1" applyBorder="1" applyAlignment="1" applyProtection="1">
      <alignment horizontal="left" vertical="center" wrapText="1"/>
      <protection/>
    </xf>
    <xf numFmtId="0" fontId="9" fillId="0" borderId="42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41" xfId="0" applyFont="1" applyBorder="1" applyAlignment="1" applyProtection="1">
      <alignment horizontal="center" vertical="center"/>
      <protection/>
    </xf>
    <xf numFmtId="0" fontId="22" fillId="0" borderId="42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9" fillId="0" borderId="51" xfId="0" applyFont="1" applyBorder="1" applyAlignment="1" applyProtection="1">
      <alignment horizontal="center"/>
      <protection/>
    </xf>
    <xf numFmtId="0" fontId="9" fillId="0" borderId="52" xfId="0" applyFont="1" applyBorder="1" applyAlignment="1" applyProtection="1">
      <alignment horizontal="center"/>
      <protection/>
    </xf>
    <xf numFmtId="0" fontId="9" fillId="0" borderId="53" xfId="0" applyFont="1" applyBorder="1" applyAlignment="1" applyProtection="1">
      <alignment horizontal="center"/>
      <protection/>
    </xf>
    <xf numFmtId="0" fontId="9" fillId="0" borderId="48" xfId="0" applyFont="1" applyBorder="1" applyAlignment="1" applyProtection="1">
      <alignment horizontal="center"/>
      <protection/>
    </xf>
    <xf numFmtId="0" fontId="9" fillId="0" borderId="56" xfId="0" applyFont="1" applyBorder="1" applyAlignment="1" applyProtection="1">
      <alignment horizontal="center"/>
      <protection/>
    </xf>
    <xf numFmtId="0" fontId="9" fillId="0" borderId="49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" fontId="4" fillId="0" borderId="17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center" vertical="center"/>
      <protection/>
    </xf>
    <xf numFmtId="172" fontId="4" fillId="0" borderId="16" xfId="0" applyNumberFormat="1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4" fontId="9" fillId="0" borderId="25" xfId="0" applyNumberFormat="1" applyFont="1" applyBorder="1" applyAlignment="1">
      <alignment horizontal="center" vertical="center"/>
    </xf>
    <xf numFmtId="4" fontId="9" fillId="0" borderId="55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9" fillId="0" borderId="33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33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4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14" fontId="4" fillId="0" borderId="57" xfId="0" applyNumberFormat="1" applyFont="1" applyBorder="1" applyAlignment="1">
      <alignment horizontal="center" vertical="center"/>
    </xf>
    <xf numFmtId="14" fontId="4" fillId="0" borderId="58" xfId="0" applyNumberFormat="1" applyFont="1" applyBorder="1" applyAlignment="1">
      <alignment horizontal="center" vertical="center"/>
    </xf>
    <xf numFmtId="14" fontId="4" fillId="0" borderId="5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14" fontId="4" fillId="0" borderId="2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9" fillId="0" borderId="54" xfId="0" applyFont="1" applyBorder="1" applyAlignment="1" applyProtection="1">
      <alignment horizontal="center"/>
      <protection hidden="1"/>
    </xf>
    <xf numFmtId="0" fontId="5" fillId="0" borderId="42" xfId="0" applyFont="1" applyBorder="1" applyAlignment="1">
      <alignment/>
    </xf>
    <xf numFmtId="0" fontId="5" fillId="0" borderId="64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3" width="9.140625" style="87" customWidth="1"/>
    <col min="14" max="14" width="16.8515625" style="87" customWidth="1"/>
    <col min="15" max="16384" width="9.140625" style="87" customWidth="1"/>
  </cols>
  <sheetData>
    <row r="1" spans="1:14" ht="12.75">
      <c r="A1" s="333" t="s">
        <v>51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 ht="12.75">
      <c r="A2" s="333" t="s">
        <v>52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12.7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8">
      <c r="A4" s="334" t="s">
        <v>96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</row>
    <row r="6" ht="13.5" thickBot="1"/>
    <row r="7" spans="1:14" ht="31.5" customHeight="1">
      <c r="A7" s="338" t="s">
        <v>265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40"/>
    </row>
    <row r="8" spans="1:14" ht="12.75">
      <c r="A8" s="216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217"/>
    </row>
    <row r="9" spans="1:14" ht="12.75">
      <c r="A9" s="335" t="s">
        <v>207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7"/>
    </row>
    <row r="10" spans="1:14" ht="12.75">
      <c r="A10" s="335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7"/>
    </row>
    <row r="11" spans="1:14" ht="12.75">
      <c r="A11" s="218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20"/>
    </row>
    <row r="12" spans="1:14" ht="12.75">
      <c r="A12" s="221" t="s">
        <v>266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217"/>
    </row>
    <row r="13" spans="1:14" ht="12.75">
      <c r="A13" s="216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217"/>
    </row>
    <row r="14" spans="1:14" ht="12.75">
      <c r="A14" s="222" t="s">
        <v>98</v>
      </c>
      <c r="B14" s="22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217"/>
    </row>
    <row r="15" spans="1:14" ht="12.75">
      <c r="A15" s="222" t="s">
        <v>94</v>
      </c>
      <c r="B15" s="22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217"/>
    </row>
    <row r="16" spans="1:14" ht="12.75">
      <c r="A16" s="330" t="s">
        <v>118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2"/>
    </row>
    <row r="17" spans="1:14" ht="12.75">
      <c r="A17" s="216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217"/>
    </row>
    <row r="18" spans="1:14" ht="12.75">
      <c r="A18" s="221" t="s">
        <v>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217"/>
    </row>
    <row r="19" spans="1:14" ht="12.75">
      <c r="A19" s="216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217"/>
    </row>
    <row r="20" spans="1:14" ht="12.75">
      <c r="A20" s="222" t="s">
        <v>95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217"/>
    </row>
    <row r="21" spans="1:14" ht="12.75">
      <c r="A21" s="216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217"/>
    </row>
    <row r="22" spans="1:14" ht="12.75">
      <c r="A22" s="221" t="s">
        <v>112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217"/>
    </row>
    <row r="23" spans="1:14" ht="12.75">
      <c r="A23" s="216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217"/>
    </row>
    <row r="24" spans="1:14" s="226" customFormat="1" ht="12.75">
      <c r="A24" s="222" t="s">
        <v>113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5"/>
    </row>
    <row r="25" spans="1:14" s="226" customFormat="1" ht="13.5" thickBot="1">
      <c r="A25" s="227" t="s">
        <v>114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9"/>
    </row>
  </sheetData>
  <sheetProtection/>
  <mergeCells count="6">
    <mergeCell ref="A16:N16"/>
    <mergeCell ref="A1:N1"/>
    <mergeCell ref="A2:N2"/>
    <mergeCell ref="A4:N4"/>
    <mergeCell ref="A9:N10"/>
    <mergeCell ref="A7:N7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17.421875" style="167" customWidth="1"/>
    <col min="2" max="2" width="18.00390625" style="167" customWidth="1"/>
    <col min="3" max="3" width="16.8515625" style="167" customWidth="1"/>
    <col min="4" max="4" width="21.140625" style="167" customWidth="1"/>
    <col min="5" max="5" width="16.57421875" style="167" customWidth="1"/>
    <col min="6" max="6" width="18.7109375" style="167" customWidth="1"/>
    <col min="7" max="7" width="16.57421875" style="167" customWidth="1"/>
    <col min="8" max="16384" width="9.140625" style="167" customWidth="1"/>
  </cols>
  <sheetData>
    <row r="1" spans="1:7" ht="12.75">
      <c r="A1" s="443" t="s">
        <v>192</v>
      </c>
      <c r="B1" s="443"/>
      <c r="C1" s="443"/>
      <c r="D1" s="443"/>
      <c r="E1" s="443"/>
      <c r="F1" s="443"/>
      <c r="G1" s="443"/>
    </row>
    <row r="3" spans="1:7" ht="12.75">
      <c r="A3" s="443" t="s">
        <v>260</v>
      </c>
      <c r="B3" s="443"/>
      <c r="C3" s="443"/>
      <c r="D3" s="443"/>
      <c r="E3" s="443"/>
      <c r="F3" s="443"/>
      <c r="G3" s="443"/>
    </row>
    <row r="4" spans="1:6" ht="12.75">
      <c r="A4" s="166"/>
      <c r="B4" s="166"/>
      <c r="C4" s="166"/>
      <c r="D4" s="166"/>
      <c r="E4" s="166"/>
      <c r="F4" s="166"/>
    </row>
    <row r="5" spans="1:6" ht="12.75">
      <c r="A5" s="168" t="s">
        <v>156</v>
      </c>
      <c r="B5" s="442" t="s">
        <v>261</v>
      </c>
      <c r="C5" s="442"/>
      <c r="D5" s="166"/>
      <c r="E5" s="166"/>
      <c r="F5" s="166"/>
    </row>
    <row r="6" spans="1:6" ht="12.75">
      <c r="A6" s="169"/>
      <c r="B6" s="169"/>
      <c r="C6" s="168"/>
      <c r="D6" s="166"/>
      <c r="E6" s="166"/>
      <c r="F6" s="166"/>
    </row>
    <row r="7" spans="1:6" ht="12.75">
      <c r="A7" s="169" t="s">
        <v>157</v>
      </c>
      <c r="B7" s="287">
        <v>1055200</v>
      </c>
      <c r="C7" s="169" t="s">
        <v>160</v>
      </c>
      <c r="D7" s="166"/>
      <c r="E7" s="166"/>
      <c r="F7" s="166"/>
    </row>
    <row r="8" spans="1:6" ht="12.75">
      <c r="A8" s="169" t="s">
        <v>158</v>
      </c>
      <c r="B8" s="287">
        <v>10000</v>
      </c>
      <c r="C8" s="169" t="s">
        <v>161</v>
      </c>
      <c r="D8" s="166"/>
      <c r="E8" s="166"/>
      <c r="F8" s="166"/>
    </row>
    <row r="9" spans="1:6" ht="12.75">
      <c r="A9" s="169" t="s">
        <v>159</v>
      </c>
      <c r="B9" s="287">
        <v>9200</v>
      </c>
      <c r="C9" s="169" t="s">
        <v>161</v>
      </c>
      <c r="D9" s="166"/>
      <c r="E9" s="166"/>
      <c r="F9" s="166"/>
    </row>
    <row r="10" spans="1:6" ht="12.75">
      <c r="A10" s="166"/>
      <c r="B10" s="166"/>
      <c r="C10" s="166"/>
      <c r="D10" s="166"/>
      <c r="E10" s="166"/>
      <c r="F10" s="166"/>
    </row>
    <row r="12" spans="1:7" ht="12.75">
      <c r="A12" s="168" t="s">
        <v>78</v>
      </c>
      <c r="B12" s="168" t="s">
        <v>79</v>
      </c>
      <c r="C12" s="168" t="s">
        <v>166</v>
      </c>
      <c r="D12" s="168" t="s">
        <v>80</v>
      </c>
      <c r="E12" s="168" t="str">
        <f>C12</f>
        <v>IN COMPLIANCE?</v>
      </c>
      <c r="F12" s="168" t="s">
        <v>81</v>
      </c>
      <c r="G12" s="168" t="str">
        <f>E12</f>
        <v>IN COMPLIANCE?</v>
      </c>
    </row>
    <row r="13" spans="1:7" ht="12.75">
      <c r="A13" s="168"/>
      <c r="B13" s="168" t="s">
        <v>82</v>
      </c>
      <c r="C13" s="168"/>
      <c r="D13" s="168" t="s">
        <v>83</v>
      </c>
      <c r="E13" s="168"/>
      <c r="F13" s="168" t="s">
        <v>83</v>
      </c>
      <c r="G13" s="170"/>
    </row>
    <row r="14" spans="1:7" ht="12.75">
      <c r="A14" s="171" t="s">
        <v>75</v>
      </c>
      <c r="B14" s="172">
        <f>SUM('Ref-2012 USAGE'!$B12:B$22)+SUM('2013 USAGE SUMMARY EU#2,3,4'!$B$17:$B17)</f>
        <v>369059.27446587605</v>
      </c>
      <c r="C14" s="172" t="str">
        <f>IF(B14&lt;$B$7,"YES"," NO")</f>
        <v>YES</v>
      </c>
      <c r="D14" s="172">
        <f>SUM('Ref-2012 USAGE'!$C12:C$22)+SUM('2013 USAGE SUMMARY EU#2,3,4'!$C$17:$C17)</f>
        <v>3470</v>
      </c>
      <c r="E14" s="173" t="str">
        <f>IF(D14&lt;$B$8,"YES","NO")</f>
        <v>YES</v>
      </c>
      <c r="F14" s="172">
        <f>SUM('Ref-2012 USAGE'!$D12:D$22)+SUM('2013 USAGE SUMMARY EU#2,3,4'!$D$17:$D17)</f>
        <v>3647</v>
      </c>
      <c r="G14" s="171" t="str">
        <f>IF(F14&lt;$B$9,"YES","NO")</f>
        <v>YES</v>
      </c>
    </row>
    <row r="15" spans="1:7" ht="12.75">
      <c r="A15" s="171" t="s">
        <v>26</v>
      </c>
      <c r="B15" s="172">
        <f>SUM('Ref-2012 USAGE'!$B13:B$22)+SUM('2013 USAGE SUMMARY EU#2,3,4'!$B$17:$B18)</f>
        <v>367086.1997605487</v>
      </c>
      <c r="C15" s="172" t="str">
        <f aca="true" t="shared" si="0" ref="C15:C25">IF(B15&lt;$B$7,"YES"," NO")</f>
        <v>YES</v>
      </c>
      <c r="D15" s="172">
        <f>SUM('Ref-2012 USAGE'!$C13:C$22)+SUM('2013 USAGE SUMMARY EU#2,3,4'!$C$17:$C18)</f>
        <v>3275</v>
      </c>
      <c r="E15" s="173" t="str">
        <f aca="true" t="shared" si="1" ref="E15:E25">IF(D15&lt;$B$8,"YES","NO")</f>
        <v>YES</v>
      </c>
      <c r="F15" s="172">
        <f>SUM('Ref-2012 USAGE'!$D13:D$22)+SUM('2013 USAGE SUMMARY EU#2,3,4'!$D$17:$D18)</f>
        <v>3702</v>
      </c>
      <c r="G15" s="171" t="str">
        <f aca="true" t="shared" si="2" ref="G15:G25">IF(F15&lt;$B$9,"YES","NO")</f>
        <v>YES</v>
      </c>
    </row>
    <row r="16" spans="1:7" ht="12.75">
      <c r="A16" s="171" t="s">
        <v>27</v>
      </c>
      <c r="B16" s="172">
        <f>SUM('Ref-2012 USAGE'!$B14:B$22)+SUM('2013 USAGE SUMMARY EU#2,3,4'!$B$17:$B19)</f>
        <v>382092.3438179423</v>
      </c>
      <c r="C16" s="172" t="str">
        <f t="shared" si="0"/>
        <v>YES</v>
      </c>
      <c r="D16" s="172">
        <f>SUM('Ref-2012 USAGE'!$C14:C$22)+SUM('2013 USAGE SUMMARY EU#2,3,4'!$C$17:$C19)</f>
        <v>3467</v>
      </c>
      <c r="E16" s="173" t="str">
        <f t="shared" si="1"/>
        <v>YES</v>
      </c>
      <c r="F16" s="172">
        <f>SUM('Ref-2012 USAGE'!$D14:D$22)+SUM('2013 USAGE SUMMARY EU#2,3,4'!$D$17:$D19)</f>
        <v>3577</v>
      </c>
      <c r="G16" s="171" t="str">
        <f t="shared" si="2"/>
        <v>YES</v>
      </c>
    </row>
    <row r="17" spans="1:7" ht="12.75">
      <c r="A17" s="171" t="s">
        <v>28</v>
      </c>
      <c r="B17" s="172">
        <f>SUM('Ref-2012 USAGE'!$B15:B$22)+SUM('2013 USAGE SUMMARY EU#2,3,4'!$B$17:$B20)</f>
        <v>392913.62333738955</v>
      </c>
      <c r="C17" s="172" t="str">
        <f t="shared" si="0"/>
        <v>YES</v>
      </c>
      <c r="D17" s="172">
        <f>SUM('Ref-2012 USAGE'!$C15:C$22)+SUM('2013 USAGE SUMMARY EU#2,3,4'!$C$17:$C20)</f>
        <v>3567</v>
      </c>
      <c r="E17" s="173" t="str">
        <f t="shared" si="1"/>
        <v>YES</v>
      </c>
      <c r="F17" s="172">
        <f>SUM('Ref-2012 USAGE'!$D15:D$22)+SUM('2013 USAGE SUMMARY EU#2,3,4'!$D$17:$D20)</f>
        <v>3647</v>
      </c>
      <c r="G17" s="171" t="str">
        <f t="shared" si="2"/>
        <v>YES</v>
      </c>
    </row>
    <row r="18" spans="1:7" ht="12.75">
      <c r="A18" s="171" t="s">
        <v>29</v>
      </c>
      <c r="B18" s="172">
        <f>SUM('Ref-2012 USAGE'!$B16:B$22)+SUM('2013 USAGE SUMMARY EU#2,3,4'!$B$17:$B21)</f>
        <v>399304.9836607904</v>
      </c>
      <c r="C18" s="172" t="str">
        <f t="shared" si="0"/>
        <v>YES</v>
      </c>
      <c r="D18" s="172">
        <f>SUM('Ref-2012 USAGE'!$C16:C$22)+SUM('2013 USAGE SUMMARY EU#2,3,4'!$C$17:$C21)</f>
        <v>3602</v>
      </c>
      <c r="E18" s="173" t="str">
        <f t="shared" si="1"/>
        <v>YES</v>
      </c>
      <c r="F18" s="172">
        <f>SUM('Ref-2012 USAGE'!$D16:D$22)+SUM('2013 USAGE SUMMARY EU#2,3,4'!$D$17:$D21)</f>
        <v>3597</v>
      </c>
      <c r="G18" s="171" t="str">
        <f t="shared" si="2"/>
        <v>YES</v>
      </c>
    </row>
    <row r="19" spans="1:7" ht="12.75">
      <c r="A19" s="171" t="s">
        <v>30</v>
      </c>
      <c r="B19" s="172">
        <f>SUM('Ref-2012 USAGE'!$B17:B$22)+SUM('2013 USAGE SUMMARY EU#2,3,4'!$B$17:$B22)</f>
        <v>405035.4217935278</v>
      </c>
      <c r="C19" s="172" t="str">
        <f t="shared" si="0"/>
        <v>YES</v>
      </c>
      <c r="D19" s="172">
        <f>SUM('Ref-2012 USAGE'!$C17:C$22)+SUM('2013 USAGE SUMMARY EU#2,3,4'!$C$17:$C22)</f>
        <v>3752</v>
      </c>
      <c r="E19" s="173" t="str">
        <f t="shared" si="1"/>
        <v>YES</v>
      </c>
      <c r="F19" s="172">
        <f>SUM('Ref-2012 USAGE'!$D17:D$22)+SUM('2013 USAGE SUMMARY EU#2,3,4'!$D$17:$D22)</f>
        <v>3562</v>
      </c>
      <c r="G19" s="171" t="str">
        <f t="shared" si="2"/>
        <v>YES</v>
      </c>
    </row>
    <row r="20" spans="1:7" ht="12.75">
      <c r="A20" s="171" t="s">
        <v>31</v>
      </c>
      <c r="B20" s="172">
        <f>SUM('Ref-2012 USAGE'!$B18:B$22)+SUM('2013 USAGE SUMMARY EU#2,3,4'!$B$17:$B23)</f>
        <v>405269.1001156275</v>
      </c>
      <c r="C20" s="172" t="str">
        <f t="shared" si="0"/>
        <v>YES</v>
      </c>
      <c r="D20" s="172">
        <f>SUM('Ref-2012 USAGE'!$C18:C$22)+SUM('2013 USAGE SUMMARY EU#2,3,4'!$C$17:$C23)</f>
        <v>3722</v>
      </c>
      <c r="E20" s="173" t="str">
        <f t="shared" si="1"/>
        <v>YES</v>
      </c>
      <c r="F20" s="172">
        <f>SUM('Ref-2012 USAGE'!$D18:D$22)+SUM('2013 USAGE SUMMARY EU#2,3,4'!$D$17:$D23)</f>
        <v>3500</v>
      </c>
      <c r="G20" s="171" t="str">
        <f t="shared" si="2"/>
        <v>YES</v>
      </c>
    </row>
    <row r="21" spans="1:7" ht="12.75">
      <c r="A21" s="171" t="s">
        <v>32</v>
      </c>
      <c r="B21" s="172">
        <f>SUM('Ref-2012 USAGE'!$B19:B$22)+SUM('2013 USAGE SUMMARY EU#2,3,4'!$B$17:$B24)</f>
        <v>370311.1921460585</v>
      </c>
      <c r="C21" s="172" t="str">
        <f t="shared" si="0"/>
        <v>YES</v>
      </c>
      <c r="D21" s="172">
        <f>SUM('Ref-2012 USAGE'!$C19:C$22)+SUM('2013 USAGE SUMMARY EU#2,3,4'!$C$17:$C24)</f>
        <v>3502</v>
      </c>
      <c r="E21" s="173" t="str">
        <f t="shared" si="1"/>
        <v>YES</v>
      </c>
      <c r="F21" s="172">
        <f>SUM('Ref-2012 USAGE'!$D19:D$22)+SUM('2013 USAGE SUMMARY EU#2,3,4'!$D$17:$D24)</f>
        <v>3215</v>
      </c>
      <c r="G21" s="171" t="str">
        <f t="shared" si="2"/>
        <v>YES</v>
      </c>
    </row>
    <row r="22" spans="1:7" ht="12.75">
      <c r="A22" s="171" t="s">
        <v>33</v>
      </c>
      <c r="B22" s="172">
        <f>SUM('Ref-2012 USAGE'!$B20:B$22)+SUM('2013 USAGE SUMMARY EU#2,3,4'!$B$17:$B25)</f>
        <v>340932.45309115574</v>
      </c>
      <c r="C22" s="172" t="str">
        <f t="shared" si="0"/>
        <v>YES</v>
      </c>
      <c r="D22" s="172">
        <f>SUM('Ref-2012 USAGE'!$C20:C$22)+SUM('2013 USAGE SUMMARY EU#2,3,4'!$C$17:$C25)</f>
        <v>3282</v>
      </c>
      <c r="E22" s="173" t="str">
        <f t="shared" si="1"/>
        <v>YES</v>
      </c>
      <c r="F22" s="172">
        <f>SUM('Ref-2012 USAGE'!$D20:D$22)+SUM('2013 USAGE SUMMARY EU#2,3,4'!$D$17:$D25)</f>
        <v>2870</v>
      </c>
      <c r="G22" s="171" t="str">
        <f t="shared" si="2"/>
        <v>YES</v>
      </c>
    </row>
    <row r="23" spans="1:7" ht="12.75">
      <c r="A23" s="171" t="s">
        <v>34</v>
      </c>
      <c r="B23" s="172">
        <f>SUM('Ref-2012 USAGE'!$B21:B$22)+SUM('2013 USAGE SUMMARY EU#2,3,4'!$B$17:$B26)</f>
        <v>306698.7001301778</v>
      </c>
      <c r="C23" s="172" t="str">
        <f t="shared" si="0"/>
        <v>YES</v>
      </c>
      <c r="D23" s="172">
        <f>SUM('Ref-2012 USAGE'!$C21:C$22)+SUM('2013 USAGE SUMMARY EU#2,3,4'!$C$17:$C26)</f>
        <v>3062</v>
      </c>
      <c r="E23" s="173" t="str">
        <f t="shared" si="1"/>
        <v>YES</v>
      </c>
      <c r="F23" s="172">
        <f>SUM('Ref-2012 USAGE'!$D21:D$22)+SUM('2013 USAGE SUMMARY EU#2,3,4'!$D$17:$D26)</f>
        <v>2530</v>
      </c>
      <c r="G23" s="171" t="str">
        <f t="shared" si="2"/>
        <v>YES</v>
      </c>
    </row>
    <row r="24" spans="1:7" ht="12.75">
      <c r="A24" s="171" t="s">
        <v>35</v>
      </c>
      <c r="B24" s="172">
        <f>SUM('Ref-2012 USAGE'!$B22:B$22)+SUM('2013 USAGE SUMMARY EU#2,3,4'!$B$17:$B27)</f>
        <v>269330.5540207525</v>
      </c>
      <c r="C24" s="172" t="str">
        <f t="shared" si="0"/>
        <v>YES</v>
      </c>
      <c r="D24" s="172">
        <f>SUM('Ref-2012 USAGE'!$C22:C$22)+SUM('2013 USAGE SUMMARY EU#2,3,4'!$C$17:$C27)</f>
        <v>2722</v>
      </c>
      <c r="E24" s="173" t="str">
        <f t="shared" si="1"/>
        <v>YES</v>
      </c>
      <c r="F24" s="172">
        <f>SUM('Ref-2012 USAGE'!$D22:D$22)+SUM('2013 USAGE SUMMARY EU#2,3,4'!$D$17:$D27)</f>
        <v>2305</v>
      </c>
      <c r="G24" s="171" t="str">
        <f t="shared" si="2"/>
        <v>YES</v>
      </c>
    </row>
    <row r="25" spans="1:7" ht="12.75">
      <c r="A25" s="171" t="s">
        <v>36</v>
      </c>
      <c r="B25" s="172">
        <f>SUM('2013 USAGE SUMMARY EU#2,3,4'!$B$17:$B28)</f>
        <v>246924.75755481358</v>
      </c>
      <c r="C25" s="172" t="str">
        <f t="shared" si="0"/>
        <v>YES</v>
      </c>
      <c r="D25" s="172">
        <f>SUM('2013 USAGE SUMMARY EU#2,3,4'!$C$17:$C28)</f>
        <v>2382</v>
      </c>
      <c r="E25" s="173" t="str">
        <f t="shared" si="1"/>
        <v>YES</v>
      </c>
      <c r="F25" s="172">
        <f>SUM('2013 USAGE SUMMARY EU#2,3,4'!$D$17:$D28)</f>
        <v>2050</v>
      </c>
      <c r="G25" s="171" t="str">
        <f t="shared" si="2"/>
        <v>YES</v>
      </c>
    </row>
  </sheetData>
  <sheetProtection selectLockedCells="1"/>
  <mergeCells count="3">
    <mergeCell ref="B5:C5"/>
    <mergeCell ref="A1:G1"/>
    <mergeCell ref="A3:G3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17.421875" style="167" customWidth="1"/>
    <col min="2" max="2" width="18.00390625" style="167" customWidth="1"/>
    <col min="3" max="3" width="16.8515625" style="167" customWidth="1"/>
    <col min="4" max="4" width="21.140625" style="167" customWidth="1"/>
    <col min="5" max="5" width="16.57421875" style="167" customWidth="1"/>
    <col min="6" max="6" width="18.7109375" style="167" customWidth="1"/>
    <col min="7" max="7" width="16.57421875" style="167" customWidth="1"/>
    <col min="8" max="16384" width="9.140625" style="167" customWidth="1"/>
  </cols>
  <sheetData>
    <row r="1" spans="1:7" ht="12.75">
      <c r="A1" s="443" t="s">
        <v>192</v>
      </c>
      <c r="B1" s="443"/>
      <c r="C1" s="443"/>
      <c r="D1" s="443"/>
      <c r="E1" s="443"/>
      <c r="F1" s="443"/>
      <c r="G1" s="443"/>
    </row>
    <row r="3" spans="1:7" ht="12.75">
      <c r="A3" s="443" t="s">
        <v>260</v>
      </c>
      <c r="B3" s="443"/>
      <c r="C3" s="443"/>
      <c r="D3" s="443"/>
      <c r="E3" s="443"/>
      <c r="F3" s="443"/>
      <c r="G3" s="443"/>
    </row>
    <row r="4" spans="1:6" ht="12.75">
      <c r="A4" s="166"/>
      <c r="B4" s="166"/>
      <c r="C4" s="166"/>
      <c r="D4" s="166"/>
      <c r="E4" s="166"/>
      <c r="F4" s="166"/>
    </row>
    <row r="5" spans="1:6" ht="12.75">
      <c r="A5" s="168" t="s">
        <v>156</v>
      </c>
      <c r="B5" s="442" t="s">
        <v>228</v>
      </c>
      <c r="C5" s="442"/>
      <c r="D5" s="166"/>
      <c r="E5" s="166"/>
      <c r="F5" s="166"/>
    </row>
    <row r="6" spans="1:6" ht="12.75">
      <c r="A6" s="169"/>
      <c r="B6" s="169"/>
      <c r="C6" s="168"/>
      <c r="D6" s="166"/>
      <c r="E6" s="166"/>
      <c r="F6" s="166"/>
    </row>
    <row r="7" spans="1:6" ht="12.75">
      <c r="A7" s="169" t="s">
        <v>157</v>
      </c>
      <c r="B7" s="287">
        <v>693466</v>
      </c>
      <c r="C7" s="169" t="s">
        <v>160</v>
      </c>
      <c r="D7" s="166"/>
      <c r="E7" s="166"/>
      <c r="F7" s="166"/>
    </row>
    <row r="8" spans="1:6" ht="12.75">
      <c r="A8" s="169" t="s">
        <v>158</v>
      </c>
      <c r="B8" s="287">
        <v>5666</v>
      </c>
      <c r="C8" s="169" t="s">
        <v>161</v>
      </c>
      <c r="D8" s="166"/>
      <c r="E8" s="166"/>
      <c r="F8" s="166"/>
    </row>
    <row r="9" spans="1:6" ht="12.75">
      <c r="A9" s="169" t="s">
        <v>159</v>
      </c>
      <c r="B9" s="287">
        <v>5466</v>
      </c>
      <c r="C9" s="169" t="s">
        <v>161</v>
      </c>
      <c r="D9" s="166"/>
      <c r="E9" s="166"/>
      <c r="F9" s="166"/>
    </row>
    <row r="10" spans="1:6" ht="12.75">
      <c r="A10" s="166"/>
      <c r="B10" s="166"/>
      <c r="C10" s="166"/>
      <c r="D10" s="166"/>
      <c r="E10" s="166"/>
      <c r="F10" s="166"/>
    </row>
    <row r="12" spans="1:7" ht="12.75">
      <c r="A12" s="168" t="s">
        <v>78</v>
      </c>
      <c r="B12" s="168" t="s">
        <v>79</v>
      </c>
      <c r="C12" s="168" t="s">
        <v>166</v>
      </c>
      <c r="D12" s="168" t="s">
        <v>80</v>
      </c>
      <c r="E12" s="168" t="str">
        <f>C12</f>
        <v>IN COMPLIANCE?</v>
      </c>
      <c r="F12" s="168" t="s">
        <v>81</v>
      </c>
      <c r="G12" s="168" t="str">
        <f>E12</f>
        <v>IN COMPLIANCE?</v>
      </c>
    </row>
    <row r="13" spans="1:7" ht="12.75">
      <c r="A13" s="168"/>
      <c r="B13" s="168" t="s">
        <v>82</v>
      </c>
      <c r="C13" s="168"/>
      <c r="D13" s="168" t="s">
        <v>83</v>
      </c>
      <c r="E13" s="168"/>
      <c r="F13" s="168" t="s">
        <v>83</v>
      </c>
      <c r="G13" s="170"/>
    </row>
    <row r="14" spans="1:7" ht="12.75">
      <c r="A14" s="171" t="s">
        <v>75</v>
      </c>
      <c r="B14" s="172">
        <f>SUM('2013 USAGE SUMMARY EU#5'!$B$17:B17)</f>
        <v>22496.536145373146</v>
      </c>
      <c r="C14" s="172" t="str">
        <f aca="true" t="shared" si="0" ref="C14:C25">IF(B14&lt;$B$7,"YES"," NO")</f>
        <v>YES</v>
      </c>
      <c r="D14" s="172">
        <f>SUM('Ref-2012 USAGE'!$C12:C$22)+SUM('2013 USAGE SUMMARY EU#5'!$C$17:C17)</f>
        <v>2990</v>
      </c>
      <c r="E14" s="173" t="str">
        <f aca="true" t="shared" si="1" ref="E14:E25">IF(D14&lt;$B$8,"YES","NO")</f>
        <v>YES</v>
      </c>
      <c r="F14" s="172">
        <f>SUM('Ref-2012 USAGE'!$D12:D$22)+SUM('2013 USAGE SUMMARY EU#5'!$D$17:D17)</f>
        <v>3367</v>
      </c>
      <c r="G14" s="171" t="str">
        <f aca="true" t="shared" si="2" ref="G14:G25">IF(F14&lt;$B$9,"YES","NO")</f>
        <v>YES</v>
      </c>
    </row>
    <row r="15" spans="1:7" ht="12.75">
      <c r="A15" s="171" t="s">
        <v>26</v>
      </c>
      <c r="B15" s="172">
        <f>SUM('2013 USAGE SUMMARY EU#5'!$B$17:B18)</f>
        <v>40689.28902616429</v>
      </c>
      <c r="C15" s="172" t="str">
        <f t="shared" si="0"/>
        <v>YES</v>
      </c>
      <c r="D15" s="172">
        <f>SUM('Ref-2012 USAGE'!$C13:C$22)+SUM('2013 USAGE SUMMARY EU#5'!$C$17:C18)</f>
        <v>2605</v>
      </c>
      <c r="E15" s="173" t="str">
        <f t="shared" si="1"/>
        <v>YES</v>
      </c>
      <c r="F15" s="172">
        <f>SUM('Ref-2012 USAGE'!$D13:D$22)+SUM('2013 USAGE SUMMARY EU#5'!$D$17:D18)</f>
        <v>3102</v>
      </c>
      <c r="G15" s="171" t="str">
        <f t="shared" si="2"/>
        <v>YES</v>
      </c>
    </row>
    <row r="16" spans="1:7" ht="12.75">
      <c r="A16" s="171" t="s">
        <v>27</v>
      </c>
      <c r="B16" s="172">
        <f>SUM('2013 USAGE SUMMARY EU#5'!$B$17:B19)</f>
        <v>66665.77573188223</v>
      </c>
      <c r="C16" s="172" t="str">
        <f t="shared" si="0"/>
        <v>YES</v>
      </c>
      <c r="D16" s="172">
        <f>SUM('Ref-2012 USAGE'!$C14:C$22)+SUM('2013 USAGE SUMMARY EU#5'!$C$17:C19)</f>
        <v>2385</v>
      </c>
      <c r="E16" s="173" t="str">
        <f t="shared" si="1"/>
        <v>YES</v>
      </c>
      <c r="F16" s="172">
        <f>SUM('Ref-2012 USAGE'!$D14:D$22)+SUM('2013 USAGE SUMMARY EU#5'!$D$17:D19)</f>
        <v>2757</v>
      </c>
      <c r="G16" s="171" t="str">
        <f t="shared" si="2"/>
        <v>YES</v>
      </c>
    </row>
    <row r="17" spans="1:7" ht="12.75">
      <c r="A17" s="171" t="s">
        <v>28</v>
      </c>
      <c r="B17" s="172">
        <f>SUM('2013 USAGE SUMMARY EU#5'!$B$17:B20)</f>
        <v>86526.87444046914</v>
      </c>
      <c r="C17" s="172" t="str">
        <f t="shared" si="0"/>
        <v>YES</v>
      </c>
      <c r="D17" s="172">
        <f>SUM('Ref-2012 USAGE'!$C15:C$22)+SUM('2013 USAGE SUMMARY EU#5'!$C$17:C20)</f>
        <v>2110</v>
      </c>
      <c r="E17" s="173" t="str">
        <f t="shared" si="1"/>
        <v>YES</v>
      </c>
      <c r="F17" s="172">
        <f>SUM('Ref-2012 USAGE'!$D15:D$22)+SUM('2013 USAGE SUMMARY EU#5'!$D$17:D20)</f>
        <v>2487</v>
      </c>
      <c r="G17" s="171" t="str">
        <f t="shared" si="2"/>
        <v>YES</v>
      </c>
    </row>
    <row r="18" spans="1:7" ht="12.75">
      <c r="A18" s="171" t="s">
        <v>29</v>
      </c>
      <c r="B18" s="172">
        <f>SUM('2013 USAGE SUMMARY EU#5'!$B$17:B21)</f>
        <v>105149.02802789601</v>
      </c>
      <c r="C18" s="172" t="str">
        <f t="shared" si="0"/>
        <v>YES</v>
      </c>
      <c r="D18" s="172">
        <f>SUM('Ref-2012 USAGE'!$C16:C$22)+SUM('2013 USAGE SUMMARY EU#5'!$C$17:C21)</f>
        <v>1835</v>
      </c>
      <c r="E18" s="173" t="str">
        <f t="shared" si="1"/>
        <v>YES</v>
      </c>
      <c r="F18" s="172">
        <f>SUM('Ref-2012 USAGE'!$D16:D$22)+SUM('2013 USAGE SUMMARY EU#5'!$D$17:D21)</f>
        <v>2157</v>
      </c>
      <c r="G18" s="171" t="str">
        <f t="shared" si="2"/>
        <v>YES</v>
      </c>
    </row>
    <row r="19" spans="1:7" ht="12.75">
      <c r="A19" s="171" t="s">
        <v>30</v>
      </c>
      <c r="B19" s="172">
        <f>SUM('2013 USAGE SUMMARY EU#5'!$B$17:B22)</f>
        <v>119339.93176619666</v>
      </c>
      <c r="C19" s="172" t="str">
        <f t="shared" si="0"/>
        <v>YES</v>
      </c>
      <c r="D19" s="172">
        <f>SUM('Ref-2012 USAGE'!$C17:C$22)+SUM('2013 USAGE SUMMARY EU#5'!$C$17:C22)</f>
        <v>1670</v>
      </c>
      <c r="E19" s="173" t="str">
        <f t="shared" si="1"/>
        <v>YES</v>
      </c>
      <c r="F19" s="172">
        <f>SUM('Ref-2012 USAGE'!$D17:D$22)+SUM('2013 USAGE SUMMARY EU#5'!$D$17:D22)</f>
        <v>1837</v>
      </c>
      <c r="G19" s="171" t="str">
        <f t="shared" si="2"/>
        <v>YES</v>
      </c>
    </row>
    <row r="20" spans="1:7" ht="12.75">
      <c r="A20" s="171" t="s">
        <v>31</v>
      </c>
      <c r="B20" s="172">
        <f>SUM('2013 USAGE SUMMARY EU#5'!$B$17:B23)</f>
        <v>134662.2424451864</v>
      </c>
      <c r="C20" s="172" t="str">
        <f t="shared" si="0"/>
        <v>YES</v>
      </c>
      <c r="D20" s="172">
        <f>SUM('Ref-2012 USAGE'!$C18:C$22)+SUM('2013 USAGE SUMMARY EU#5'!$C$17:C23)</f>
        <v>1340</v>
      </c>
      <c r="E20" s="173" t="str">
        <f t="shared" si="1"/>
        <v>YES</v>
      </c>
      <c r="F20" s="172">
        <f>SUM('Ref-2012 USAGE'!$D18:D$22)+SUM('2013 USAGE SUMMARY EU#5'!$D$17:D23)</f>
        <v>1555</v>
      </c>
      <c r="G20" s="171" t="str">
        <f t="shared" si="2"/>
        <v>YES</v>
      </c>
    </row>
    <row r="21" spans="1:7" ht="12.75">
      <c r="A21" s="171" t="s">
        <v>32</v>
      </c>
      <c r="B21" s="172">
        <f>SUM('2013 USAGE SUMMARY EU#5'!$B$17:B24)</f>
        <v>134662.2424451864</v>
      </c>
      <c r="C21" s="172" t="str">
        <f t="shared" si="0"/>
        <v>YES</v>
      </c>
      <c r="D21" s="172">
        <f>SUM('Ref-2012 USAGE'!$C19:C$22)+SUM('2013 USAGE SUMMARY EU#5'!$C$17:C24)</f>
        <v>1120</v>
      </c>
      <c r="E21" s="173" t="str">
        <f t="shared" si="1"/>
        <v>YES</v>
      </c>
      <c r="F21" s="172">
        <f>SUM('Ref-2012 USAGE'!$D19:D$22)+SUM('2013 USAGE SUMMARY EU#5'!$D$17:D24)</f>
        <v>1270</v>
      </c>
      <c r="G21" s="171" t="str">
        <f t="shared" si="2"/>
        <v>YES</v>
      </c>
    </row>
    <row r="22" spans="1:7" ht="12.75">
      <c r="A22" s="171" t="s">
        <v>33</v>
      </c>
      <c r="B22" s="172">
        <f>SUM('2013 USAGE SUMMARY EU#5'!$B$17:B25)</f>
        <v>134662.2424451864</v>
      </c>
      <c r="C22" s="172" t="str">
        <f t="shared" si="0"/>
        <v>YES</v>
      </c>
      <c r="D22" s="172">
        <f>SUM('Ref-2012 USAGE'!$C20:C$22)+SUM('2013 USAGE SUMMARY EU#5'!$C$17:C25)</f>
        <v>900</v>
      </c>
      <c r="E22" s="173" t="str">
        <f t="shared" si="1"/>
        <v>YES</v>
      </c>
      <c r="F22" s="172">
        <f>SUM('Ref-2012 USAGE'!$D20:D$22)+SUM('2013 USAGE SUMMARY EU#5'!$D$17:D25)</f>
        <v>925</v>
      </c>
      <c r="G22" s="171" t="str">
        <f t="shared" si="2"/>
        <v>YES</v>
      </c>
    </row>
    <row r="23" spans="1:7" ht="12.75">
      <c r="A23" s="171" t="s">
        <v>34</v>
      </c>
      <c r="B23" s="172">
        <f>SUM('2013 USAGE SUMMARY EU#5'!$B$17:B26)</f>
        <v>134662.2424451864</v>
      </c>
      <c r="C23" s="172" t="str">
        <f t="shared" si="0"/>
        <v>YES</v>
      </c>
      <c r="D23" s="172">
        <f>SUM('Ref-2012 USAGE'!$C21:C$22)+SUM('2013 USAGE SUMMARY EU#5'!$C$17:C26)</f>
        <v>680</v>
      </c>
      <c r="E23" s="173" t="str">
        <f t="shared" si="1"/>
        <v>YES</v>
      </c>
      <c r="F23" s="172">
        <f>SUM('Ref-2012 USAGE'!$D21:D$22)+SUM('2013 USAGE SUMMARY EU#5'!$D$17:D26)</f>
        <v>585</v>
      </c>
      <c r="G23" s="171" t="str">
        <f t="shared" si="2"/>
        <v>YES</v>
      </c>
    </row>
    <row r="24" spans="1:7" ht="12.75">
      <c r="A24" s="171" t="s">
        <v>35</v>
      </c>
      <c r="B24" s="172">
        <f>SUM('2013 USAGE SUMMARY EU#5'!$B$17:B27)</f>
        <v>134662.2424451864</v>
      </c>
      <c r="C24" s="172" t="str">
        <f t="shared" si="0"/>
        <v>YES</v>
      </c>
      <c r="D24" s="172">
        <f>SUM('Ref-2012 USAGE'!$C22:C$22)+SUM('2013 USAGE SUMMARY EU#5'!$C$17:C27)</f>
        <v>340</v>
      </c>
      <c r="E24" s="173" t="str">
        <f t="shared" si="1"/>
        <v>YES</v>
      </c>
      <c r="F24" s="172">
        <f>SUM('Ref-2012 USAGE'!$D22:D$22)+SUM('2013 USAGE SUMMARY EU#5'!$D$17:D27)</f>
        <v>360</v>
      </c>
      <c r="G24" s="171" t="str">
        <f t="shared" si="2"/>
        <v>YES</v>
      </c>
    </row>
    <row r="25" spans="1:7" ht="12.75">
      <c r="A25" s="171" t="s">
        <v>36</v>
      </c>
      <c r="B25" s="172">
        <f>SUM('2013 USAGE SUMMARY EU#5'!$B$17:B28)</f>
        <v>134662.2424451864</v>
      </c>
      <c r="C25" s="172" t="str">
        <f t="shared" si="0"/>
        <v>YES</v>
      </c>
      <c r="D25" s="172">
        <f>SUM('Ref-2012 USAGE'!$C$22:C23)+SUM('2013 USAGE SUMMARY EU#5'!$C$17:C28)</f>
        <v>340</v>
      </c>
      <c r="E25" s="173" t="str">
        <f t="shared" si="1"/>
        <v>YES</v>
      </c>
      <c r="F25" s="172">
        <f>SUM('2013 USAGE SUMMARY EU#5'!$D$17:D28)</f>
        <v>105</v>
      </c>
      <c r="G25" s="171" t="str">
        <f t="shared" si="2"/>
        <v>YES</v>
      </c>
    </row>
  </sheetData>
  <sheetProtection selectLockedCells="1"/>
  <mergeCells count="3">
    <mergeCell ref="B5:C5"/>
    <mergeCell ref="A1:G1"/>
    <mergeCell ref="A3:G3"/>
  </mergeCells>
  <printOptions horizontalCentered="1"/>
  <pageMargins left="0.75" right="0.75" top="1" bottom="1" header="0.5" footer="0.5"/>
  <pageSetup fitToHeight="1" fitToWidth="1" horizontalDpi="600" verticalDpi="600" orientation="portrait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13.140625" style="167" customWidth="1"/>
    <col min="2" max="2" width="25.8515625" style="167" customWidth="1"/>
    <col min="3" max="3" width="19.28125" style="167" customWidth="1"/>
    <col min="4" max="4" width="24.00390625" style="167" bestFit="1" customWidth="1"/>
    <col min="5" max="5" width="18.57421875" style="167" customWidth="1"/>
    <col min="6" max="16384" width="9.140625" style="167" customWidth="1"/>
  </cols>
  <sheetData>
    <row r="1" spans="1:16" s="174" customFormat="1" ht="12.75">
      <c r="A1" s="443" t="s">
        <v>193</v>
      </c>
      <c r="B1" s="443"/>
      <c r="C1" s="443"/>
      <c r="D1" s="443"/>
      <c r="E1" s="443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s="174" customFormat="1" ht="12.75">
      <c r="A2" s="443" t="s">
        <v>262</v>
      </c>
      <c r="B2" s="443"/>
      <c r="C2" s="443"/>
      <c r="D2" s="443"/>
      <c r="E2" s="443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4" ht="12.75">
      <c r="A4" s="175" t="s">
        <v>23</v>
      </c>
    </row>
    <row r="5" spans="1:3" ht="12.75">
      <c r="A5" s="176" t="s">
        <v>155</v>
      </c>
      <c r="B5" s="446" t="s">
        <v>165</v>
      </c>
      <c r="C5" s="447"/>
    </row>
    <row r="6" spans="1:3" ht="12.75">
      <c r="A6" s="170" t="s">
        <v>162</v>
      </c>
      <c r="B6" s="170">
        <v>95</v>
      </c>
      <c r="C6" s="170" t="s">
        <v>164</v>
      </c>
    </row>
    <row r="7" spans="1:3" ht="12.75">
      <c r="A7" s="170" t="s">
        <v>163</v>
      </c>
      <c r="B7" s="170">
        <v>23.75</v>
      </c>
      <c r="C7" s="170" t="s">
        <v>164</v>
      </c>
    </row>
    <row r="10" spans="1:5" ht="26.25" customHeight="1">
      <c r="A10" s="444" t="s">
        <v>65</v>
      </c>
      <c r="B10" s="178" t="s">
        <v>186</v>
      </c>
      <c r="C10" s="178" t="s">
        <v>185</v>
      </c>
      <c r="D10" s="178" t="s">
        <v>187</v>
      </c>
      <c r="E10" s="178" t="str">
        <f>C10</f>
        <v>IN COMPLIANCE ?</v>
      </c>
    </row>
    <row r="11" spans="1:5" ht="12.75">
      <c r="A11" s="445"/>
      <c r="B11" s="168" t="s">
        <v>64</v>
      </c>
      <c r="C11" s="168"/>
      <c r="D11" s="168" t="s">
        <v>64</v>
      </c>
      <c r="E11" s="170"/>
    </row>
    <row r="12" spans="1:5" ht="12.75">
      <c r="A12" s="168" t="s">
        <v>25</v>
      </c>
      <c r="B12" s="173">
        <f>SUM('2013 VOC-HAP TRACKING '!$C$27:$C27)+SUM('Ref-2012 VOC HAP'!$B8:$B$18)</f>
        <v>13.816305512493013</v>
      </c>
      <c r="C12" s="173" t="str">
        <f>IF(B12&lt;$B$6,"YES","NO")</f>
        <v>YES</v>
      </c>
      <c r="D12" s="173">
        <f>SUM('2013 VOC-HAP TRACKING '!$D$27:$D27)+SUM('Ref-2012 VOC HAP'!$C8:$C$18)</f>
        <v>1.8105088499999997</v>
      </c>
      <c r="E12" s="171" t="str">
        <f>IF(D12&lt;$B$7,"YES","NO")</f>
        <v>YES</v>
      </c>
    </row>
    <row r="13" spans="1:5" ht="12.75">
      <c r="A13" s="168" t="s">
        <v>26</v>
      </c>
      <c r="B13" s="173">
        <f>SUM('2013 VOC-HAP TRACKING '!$C$27:$C28)+SUM('Ref-2012 VOC HAP'!$B9:$B$18)</f>
        <v>13.190103176654853</v>
      </c>
      <c r="C13" s="173" t="str">
        <f aca="true" t="shared" si="0" ref="C13:C23">IF(B13&lt;$B$6,"YES","NO")</f>
        <v>YES</v>
      </c>
      <c r="D13" s="173">
        <f>SUM('2013 VOC-HAP TRACKING '!$D$27:$D28)+SUM('Ref-2012 VOC HAP'!$C9:$C$18)</f>
        <v>1.8575690124999997</v>
      </c>
      <c r="E13" s="171" t="str">
        <f aca="true" t="shared" si="1" ref="E13:E23">IF(D13&lt;$B$7,"YES","NO")</f>
        <v>YES</v>
      </c>
    </row>
    <row r="14" spans="1:5" ht="12.75">
      <c r="A14" s="168" t="s">
        <v>27</v>
      </c>
      <c r="B14" s="173">
        <f>SUM('2013 VOC-HAP TRACKING '!$C$27:$C29)+SUM('Ref-2012 VOC HAP'!$B10:$B$18)</f>
        <v>12.510877708992432</v>
      </c>
      <c r="C14" s="173" t="str">
        <f t="shared" si="0"/>
        <v>YES</v>
      </c>
      <c r="D14" s="173">
        <f>SUM('2013 VOC-HAP TRACKING '!$D$27:$D29)+SUM('Ref-2012 VOC HAP'!$C10:$C$18)</f>
        <v>1.8478846249999998</v>
      </c>
      <c r="E14" s="171" t="str">
        <f t="shared" si="1"/>
        <v>YES</v>
      </c>
    </row>
    <row r="15" spans="1:5" ht="12.75">
      <c r="A15" s="168" t="s">
        <v>28</v>
      </c>
      <c r="B15" s="173">
        <f>SUM('2013 VOC-HAP TRACKING '!$C$27:$C30)+SUM('Ref-2012 VOC HAP'!$B11:$B$18)</f>
        <v>12.205171339738115</v>
      </c>
      <c r="C15" s="173" t="str">
        <f t="shared" si="0"/>
        <v>YES</v>
      </c>
      <c r="D15" s="173">
        <f>SUM('2013 VOC-HAP TRACKING '!$D$27:$D30)+SUM('Ref-2012 VOC HAP'!$C11:$C$18)</f>
        <v>1.8763749124999998</v>
      </c>
      <c r="E15" s="171" t="str">
        <f t="shared" si="1"/>
        <v>YES</v>
      </c>
    </row>
    <row r="16" spans="1:5" ht="12.75">
      <c r="A16" s="168" t="s">
        <v>29</v>
      </c>
      <c r="B16" s="173">
        <f>SUM('2013 VOC-HAP TRACKING '!$C$27:$C31)+SUM('Ref-2012 VOC HAP'!$B12:$B$18)</f>
        <v>11.61474498718645</v>
      </c>
      <c r="C16" s="173" t="str">
        <f t="shared" si="0"/>
        <v>YES</v>
      </c>
      <c r="D16" s="173">
        <f>SUM('2013 VOC-HAP TRACKING '!$D$27:$D31)+SUM('Ref-2012 VOC HAP'!$C12:$C$18)</f>
        <v>1.8186287874999998</v>
      </c>
      <c r="E16" s="171" t="str">
        <f t="shared" si="1"/>
        <v>YES</v>
      </c>
    </row>
    <row r="17" spans="1:5" ht="12.75">
      <c r="A17" s="168" t="s">
        <v>30</v>
      </c>
      <c r="B17" s="173">
        <f>SUM('2013 VOC-HAP TRACKING '!$C$27:$C32)+SUM('Ref-2012 VOC HAP'!$B13:$B$18)</f>
        <v>11.238851315434584</v>
      </c>
      <c r="C17" s="173" t="str">
        <f t="shared" si="0"/>
        <v>YES</v>
      </c>
      <c r="D17" s="173">
        <f>SUM('2013 VOC-HAP TRACKING '!$D$27:$D32)+SUM('Ref-2012 VOC HAP'!$C13:$C$18)</f>
        <v>1.7884881124999998</v>
      </c>
      <c r="E17" s="171" t="str">
        <f t="shared" si="1"/>
        <v>YES</v>
      </c>
    </row>
    <row r="18" spans="1:5" ht="12.75">
      <c r="A18" s="168" t="s">
        <v>31</v>
      </c>
      <c r="B18" s="173">
        <f>SUM('2013 VOC-HAP TRACKING '!$C$27:$C33)+SUM('Ref-2012 VOC HAP'!$B14:$B$18)</f>
        <v>10.616665300169267</v>
      </c>
      <c r="C18" s="173" t="str">
        <f t="shared" si="0"/>
        <v>YES</v>
      </c>
      <c r="D18" s="173">
        <f>SUM('2013 VOC-HAP TRACKING '!$D$27:$D33)+SUM('Ref-2012 VOC HAP'!$C14:$C$18)</f>
        <v>1.8281638624999998</v>
      </c>
      <c r="E18" s="171" t="str">
        <f t="shared" si="1"/>
        <v>YES</v>
      </c>
    </row>
    <row r="19" spans="1:5" ht="12.75">
      <c r="A19" s="168" t="s">
        <v>32</v>
      </c>
      <c r="B19" s="173">
        <f>SUM('2013 VOC-HAP TRACKING '!$C$27:$C34)+SUM('Ref-2012 VOC HAP'!$B15:$B$18)</f>
        <v>9.42006782386122</v>
      </c>
      <c r="C19" s="173" t="str">
        <f t="shared" si="0"/>
        <v>YES</v>
      </c>
      <c r="D19" s="173">
        <f>SUM('2013 VOC-HAP TRACKING '!$D$27:$D34)+SUM('Ref-2012 VOC HAP'!$C15:$C$18)</f>
        <v>1.630793025</v>
      </c>
      <c r="E19" s="171" t="str">
        <f t="shared" si="1"/>
        <v>YES</v>
      </c>
    </row>
    <row r="20" spans="1:5" ht="12.75">
      <c r="A20" s="168" t="s">
        <v>33</v>
      </c>
      <c r="B20" s="173">
        <f>SUM('2013 VOC-HAP TRACKING '!$C$27:$C35)+SUM('Ref-2012 VOC HAP'!$B16:$B$18)</f>
        <v>8.160367741779208</v>
      </c>
      <c r="C20" s="173" t="str">
        <f t="shared" si="0"/>
        <v>YES</v>
      </c>
      <c r="D20" s="173">
        <f>SUM('2013 VOC-HAP TRACKING '!$D$27:$D35)+SUM('Ref-2012 VOC HAP'!$C16:$C$18)</f>
        <v>1.4847161875</v>
      </c>
      <c r="E20" s="171" t="str">
        <f t="shared" si="1"/>
        <v>YES</v>
      </c>
    </row>
    <row r="21" spans="1:5" ht="12.75">
      <c r="A21" s="168" t="s">
        <v>34</v>
      </c>
      <c r="B21" s="173">
        <f>SUM('2013 VOC-HAP TRACKING '!$C$27:$C36)+SUM('Ref-2012 VOC HAP'!$B17:$B$18)</f>
        <v>6.87496073246569</v>
      </c>
      <c r="C21" s="173" t="str">
        <f t="shared" si="0"/>
        <v>YES</v>
      </c>
      <c r="D21" s="173">
        <f>SUM('2013 VOC-HAP TRACKING '!$D$27:$D36)+SUM('Ref-2012 VOC HAP'!$C17:$C$18)</f>
        <v>1.3815482874999998</v>
      </c>
      <c r="E21" s="171" t="str">
        <f t="shared" si="1"/>
        <v>YES</v>
      </c>
    </row>
    <row r="22" spans="1:5" ht="12.75">
      <c r="A22" s="168" t="s">
        <v>35</v>
      </c>
      <c r="B22" s="173">
        <f>SUM('2013 VOC-HAP TRACKING '!$C$27:$C37)+SUM('Ref-2012 VOC HAP'!$B18:$B$18)</f>
        <v>5.643404452067897</v>
      </c>
      <c r="C22" s="173" t="str">
        <f t="shared" si="0"/>
        <v>YES</v>
      </c>
      <c r="D22" s="173">
        <f>SUM('2013 VOC-HAP TRACKING '!$D$27:$D37)+SUM('Ref-2012 VOC HAP'!$C18:$C$18)</f>
        <v>1.1487998124999999</v>
      </c>
      <c r="E22" s="171" t="str">
        <f t="shared" si="1"/>
        <v>YES</v>
      </c>
    </row>
    <row r="23" spans="1:5" ht="12.75">
      <c r="A23" s="168" t="s">
        <v>36</v>
      </c>
      <c r="B23" s="173">
        <f>SUM('2013 VOC-HAP TRACKING '!$C$27:$C38)</f>
        <v>4.631228856615434</v>
      </c>
      <c r="C23" s="173" t="str">
        <f t="shared" si="0"/>
        <v>YES</v>
      </c>
      <c r="D23" s="173">
        <f>SUM('2013 VOC-HAP TRACKING '!$D$27:$D38)</f>
        <v>1.0047643375</v>
      </c>
      <c r="E23" s="171" t="str">
        <f t="shared" si="1"/>
        <v>YES</v>
      </c>
    </row>
  </sheetData>
  <sheetProtection selectLockedCells="1" selectUnlockedCells="1"/>
  <mergeCells count="4">
    <mergeCell ref="A10:A11"/>
    <mergeCell ref="B5:C5"/>
    <mergeCell ref="A1:E1"/>
    <mergeCell ref="A2:E2"/>
  </mergeCells>
  <printOptions horizontalCentered="1"/>
  <pageMargins left="0.75" right="0.75" top="1" bottom="1" header="0.5" footer="0.5"/>
  <pageSetup horizontalDpi="1200" verticalDpi="1200" orientation="portrait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11.7109375" style="167" customWidth="1"/>
    <col min="2" max="2" width="12.8515625" style="167" customWidth="1"/>
    <col min="3" max="3" width="22.28125" style="167" customWidth="1"/>
    <col min="4" max="4" width="17.8515625" style="167" customWidth="1"/>
    <col min="5" max="16384" width="9.140625" style="167" customWidth="1"/>
  </cols>
  <sheetData>
    <row r="1" spans="1:4" ht="12.75">
      <c r="A1" s="443" t="s">
        <v>192</v>
      </c>
      <c r="B1" s="443"/>
      <c r="C1" s="443"/>
      <c r="D1" s="443"/>
    </row>
    <row r="5" spans="1:4" ht="12.75">
      <c r="A5" s="443" t="s">
        <v>263</v>
      </c>
      <c r="B5" s="443"/>
      <c r="C5" s="443"/>
      <c r="D5" s="443"/>
    </row>
    <row r="6" spans="1:4" ht="12.75">
      <c r="A6" s="166"/>
      <c r="B6" s="166"/>
      <c r="C6" s="166"/>
      <c r="D6" s="166"/>
    </row>
    <row r="7" spans="1:4" ht="12.75">
      <c r="A7" s="443" t="s">
        <v>229</v>
      </c>
      <c r="B7" s="443"/>
      <c r="C7" s="443"/>
      <c r="D7" s="443"/>
    </row>
    <row r="9" spans="1:4" ht="12.75">
      <c r="A9" s="171" t="s">
        <v>78</v>
      </c>
      <c r="B9" s="171" t="s">
        <v>79</v>
      </c>
      <c r="C9" s="171" t="s">
        <v>80</v>
      </c>
      <c r="D9" s="171" t="s">
        <v>81</v>
      </c>
    </row>
    <row r="10" spans="1:4" ht="12.75">
      <c r="A10" s="171"/>
      <c r="B10" s="171" t="s">
        <v>82</v>
      </c>
      <c r="C10" s="171" t="s">
        <v>83</v>
      </c>
      <c r="D10" s="171" t="s">
        <v>83</v>
      </c>
    </row>
    <row r="11" spans="1:4" ht="12.75">
      <c r="A11" s="171" t="s">
        <v>75</v>
      </c>
      <c r="B11" s="177">
        <v>36145.153785726245</v>
      </c>
      <c r="C11" s="177">
        <v>330</v>
      </c>
      <c r="D11" s="177">
        <v>350</v>
      </c>
    </row>
    <row r="12" spans="1:4" ht="12.75">
      <c r="A12" s="171" t="s">
        <v>26</v>
      </c>
      <c r="B12" s="177">
        <v>34958.821824536215</v>
      </c>
      <c r="C12" s="177">
        <v>385</v>
      </c>
      <c r="D12" s="177">
        <v>290</v>
      </c>
    </row>
    <row r="13" spans="1:4" ht="12.75">
      <c r="A13" s="171" t="s">
        <v>27</v>
      </c>
      <c r="B13" s="177">
        <v>31900.36923688843</v>
      </c>
      <c r="C13" s="177">
        <v>220</v>
      </c>
      <c r="D13" s="177">
        <v>360</v>
      </c>
    </row>
    <row r="14" spans="1:4" ht="12.75">
      <c r="A14" s="171" t="s">
        <v>28</v>
      </c>
      <c r="B14" s="177">
        <v>25862.12177196583</v>
      </c>
      <c r="C14" s="177">
        <v>275</v>
      </c>
      <c r="D14" s="177">
        <v>285</v>
      </c>
    </row>
    <row r="15" spans="1:4" ht="12.75">
      <c r="A15" s="171" t="s">
        <v>29</v>
      </c>
      <c r="B15" s="177">
        <v>28209.486089172213</v>
      </c>
      <c r="C15" s="177">
        <v>275</v>
      </c>
      <c r="D15" s="177">
        <v>345</v>
      </c>
    </row>
    <row r="16" spans="1:4" ht="12.75">
      <c r="A16" s="171" t="s">
        <v>30</v>
      </c>
      <c r="B16" s="177">
        <v>20986.658128961943</v>
      </c>
      <c r="C16" s="177">
        <v>165</v>
      </c>
      <c r="D16" s="177">
        <v>335</v>
      </c>
    </row>
    <row r="17" spans="1:4" ht="12.75">
      <c r="A17" s="171" t="s">
        <v>31</v>
      </c>
      <c r="B17" s="177">
        <v>29292.51099891053</v>
      </c>
      <c r="C17" s="177">
        <v>330</v>
      </c>
      <c r="D17" s="177">
        <v>282</v>
      </c>
    </row>
    <row r="18" spans="1:4" ht="12.75">
      <c r="A18" s="171" t="s">
        <v>32</v>
      </c>
      <c r="B18" s="177">
        <v>34957.907969569074</v>
      </c>
      <c r="C18" s="177">
        <v>220</v>
      </c>
      <c r="D18" s="177">
        <v>285</v>
      </c>
    </row>
    <row r="19" spans="1:4" ht="12.75">
      <c r="A19" s="171" t="s">
        <v>33</v>
      </c>
      <c r="B19" s="177">
        <v>29378.73905490275</v>
      </c>
      <c r="C19" s="177">
        <v>220</v>
      </c>
      <c r="D19" s="177">
        <v>345</v>
      </c>
    </row>
    <row r="20" spans="1:4" ht="12.75">
      <c r="A20" s="171" t="s">
        <v>34</v>
      </c>
      <c r="B20" s="177">
        <v>34233.75296097795</v>
      </c>
      <c r="C20" s="177">
        <v>220</v>
      </c>
      <c r="D20" s="177">
        <v>340</v>
      </c>
    </row>
    <row r="21" spans="1:4" ht="12.75">
      <c r="A21" s="171" t="s">
        <v>35</v>
      </c>
      <c r="B21" s="177">
        <v>37368.146109425325</v>
      </c>
      <c r="C21" s="177">
        <v>340</v>
      </c>
      <c r="D21" s="177">
        <v>225</v>
      </c>
    </row>
    <row r="22" spans="1:4" ht="12.75">
      <c r="A22" s="171" t="s">
        <v>36</v>
      </c>
      <c r="B22" s="177">
        <v>22405.796465938885</v>
      </c>
      <c r="C22" s="177">
        <v>340</v>
      </c>
      <c r="D22" s="177">
        <v>255</v>
      </c>
    </row>
  </sheetData>
  <sheetProtection selectLockedCells="1" selectUnlockedCells="1"/>
  <mergeCells count="3">
    <mergeCell ref="A5:D5"/>
    <mergeCell ref="A7:D7"/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5.8515625" style="0" customWidth="1"/>
    <col min="2" max="2" width="24.7109375" style="0" bestFit="1" customWidth="1"/>
    <col min="3" max="3" width="23.421875" style="0" bestFit="1" customWidth="1"/>
    <col min="4" max="4" width="17.57421875" style="0" bestFit="1" customWidth="1"/>
    <col min="5" max="5" width="12.00390625" style="0" bestFit="1" customWidth="1"/>
  </cols>
  <sheetData>
    <row r="1" spans="1:15" s="3" customFormat="1" ht="12.75">
      <c r="A1" s="401" t="s">
        <v>192</v>
      </c>
      <c r="B1" s="402"/>
      <c r="C1" s="402"/>
      <c r="D1" s="402"/>
      <c r="E1" s="402"/>
      <c r="F1" s="402"/>
      <c r="G1" s="402"/>
      <c r="H1" s="402"/>
      <c r="I1" s="448"/>
      <c r="J1" s="1"/>
      <c r="K1" s="2"/>
      <c r="N1"/>
      <c r="O1" s="2"/>
    </row>
    <row r="2" spans="1:15" s="3" customFormat="1" ht="13.5" thickBot="1">
      <c r="A2" s="420" t="s">
        <v>264</v>
      </c>
      <c r="B2" s="421"/>
      <c r="C2" s="421"/>
      <c r="D2" s="421"/>
      <c r="E2" s="421"/>
      <c r="F2" s="421"/>
      <c r="G2" s="421"/>
      <c r="H2" s="421"/>
      <c r="I2" s="449"/>
      <c r="J2" s="1"/>
      <c r="N2"/>
      <c r="O2" s="2"/>
    </row>
    <row r="3" ht="13.5" thickTop="1"/>
    <row r="5" spans="1:3" ht="12.75">
      <c r="A5" s="450" t="s">
        <v>65</v>
      </c>
      <c r="B5" s="450" t="s">
        <v>66</v>
      </c>
      <c r="C5" s="450" t="s">
        <v>67</v>
      </c>
    </row>
    <row r="6" spans="1:3" ht="12.75">
      <c r="A6" s="451"/>
      <c r="B6" s="451"/>
      <c r="C6" s="451"/>
    </row>
    <row r="7" spans="1:3" ht="12.75">
      <c r="A7" s="33" t="s">
        <v>25</v>
      </c>
      <c r="B7" s="163">
        <v>1.4264472659898204</v>
      </c>
      <c r="C7" s="164">
        <v>0.19383403749999997</v>
      </c>
    </row>
    <row r="8" spans="1:3" ht="12.75">
      <c r="A8" s="33" t="s">
        <v>26</v>
      </c>
      <c r="B8" s="163">
        <v>1.3143366540923482</v>
      </c>
      <c r="C8" s="164">
        <v>0.13826288749999996</v>
      </c>
    </row>
    <row r="9" spans="1:5" ht="12.75">
      <c r="A9" s="33" t="s">
        <v>27</v>
      </c>
      <c r="B9" s="163">
        <v>1.2969828073892977</v>
      </c>
      <c r="C9" s="164">
        <v>0.14738046249999998</v>
      </c>
      <c r="E9" s="11"/>
    </row>
    <row r="10" spans="1:3" ht="12.75">
      <c r="A10" s="33" t="s">
        <v>28</v>
      </c>
      <c r="B10" s="163">
        <v>1.0793007089811903</v>
      </c>
      <c r="C10" s="164">
        <v>0.15452124999999997</v>
      </c>
    </row>
    <row r="11" spans="1:3" ht="12.75">
      <c r="A11" s="33" t="s">
        <v>29</v>
      </c>
      <c r="B11" s="163">
        <v>1.231193049641977</v>
      </c>
      <c r="C11" s="164">
        <v>0.15948168749999997</v>
      </c>
    </row>
    <row r="12" spans="1:3" ht="12.75">
      <c r="A12" s="33" t="s">
        <v>30</v>
      </c>
      <c r="B12" s="163">
        <v>1.0094414041153033</v>
      </c>
      <c r="C12" s="164">
        <v>0.1318762375</v>
      </c>
    </row>
    <row r="13" spans="1:3" ht="12.75">
      <c r="A13" s="33" t="s">
        <v>31</v>
      </c>
      <c r="B13" s="163">
        <v>1.16571822999219</v>
      </c>
      <c r="C13" s="164">
        <v>0.11371168749999999</v>
      </c>
    </row>
    <row r="14" spans="1:3" ht="12.75">
      <c r="A14" s="33" t="s">
        <v>32</v>
      </c>
      <c r="B14" s="163">
        <v>1.1965974763080476</v>
      </c>
      <c r="C14" s="164">
        <v>0.19737083749999998</v>
      </c>
    </row>
    <row r="15" spans="1:3" ht="12.75">
      <c r="A15" s="33" t="s">
        <v>33</v>
      </c>
      <c r="B15" s="163">
        <v>1.2597000820820135</v>
      </c>
      <c r="C15" s="164">
        <v>0.14607683749999997</v>
      </c>
    </row>
    <row r="16" spans="1:3" ht="12.75">
      <c r="A16" s="33" t="s">
        <v>34</v>
      </c>
      <c r="B16" s="163">
        <v>1.2854070093135177</v>
      </c>
      <c r="C16" s="164">
        <v>0.1031679</v>
      </c>
    </row>
    <row r="17" spans="1:3" ht="12.75">
      <c r="A17" s="33" t="s">
        <v>35</v>
      </c>
      <c r="B17" s="163">
        <v>1.231556280397792</v>
      </c>
      <c r="C17" s="164">
        <v>0.232748475</v>
      </c>
    </row>
    <row r="18" spans="1:3" ht="12.75">
      <c r="A18" s="33" t="s">
        <v>36</v>
      </c>
      <c r="B18" s="163">
        <v>1.0121755954524634</v>
      </c>
      <c r="C18" s="164">
        <v>0.14403547499999997</v>
      </c>
    </row>
    <row r="19" spans="1:3" ht="12.75">
      <c r="A19" s="79" t="s">
        <v>68</v>
      </c>
      <c r="B19" s="189">
        <v>16.52852945580827</v>
      </c>
      <c r="C19" s="189">
        <v>1.9596846317781529</v>
      </c>
    </row>
    <row r="21" ht="14.25" customHeight="1"/>
  </sheetData>
  <sheetProtection selectLockedCells="1" selectUnlockedCells="1"/>
  <mergeCells count="5">
    <mergeCell ref="A1:I1"/>
    <mergeCell ref="A2:I2"/>
    <mergeCell ref="A5:A6"/>
    <mergeCell ref="B5:B6"/>
    <mergeCell ref="C5:C6"/>
  </mergeCells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="60" zoomScalePageLayoutView="0" workbookViewId="0" topLeftCell="A1">
      <selection activeCell="N20" sqref="N20"/>
    </sheetView>
  </sheetViews>
  <sheetFormatPr defaultColWidth="9.140625" defaultRowHeight="12.75"/>
  <cols>
    <col min="1" max="1" width="11.421875" style="49" customWidth="1"/>
    <col min="2" max="2" width="11.8515625" style="49" customWidth="1"/>
    <col min="3" max="3" width="14.00390625" style="49" customWidth="1"/>
    <col min="4" max="4" width="15.421875" style="49" customWidth="1"/>
    <col min="5" max="5" width="15.8515625" style="49" customWidth="1"/>
    <col min="6" max="6" width="16.8515625" style="49" customWidth="1"/>
    <col min="7" max="8" width="9.140625" style="49" customWidth="1"/>
    <col min="9" max="9" width="12.7109375" style="49" customWidth="1"/>
    <col min="10" max="11" width="9.140625" style="49" customWidth="1"/>
    <col min="12" max="12" width="15.28125" style="49" customWidth="1"/>
    <col min="13" max="13" width="16.00390625" style="49" customWidth="1"/>
    <col min="14" max="16384" width="9.140625" style="49" customWidth="1"/>
  </cols>
  <sheetData>
    <row r="1" spans="1:6" ht="12.75">
      <c r="A1" s="252"/>
      <c r="B1" s="252"/>
      <c r="C1" s="252"/>
      <c r="D1" s="252"/>
      <c r="E1" s="252"/>
      <c r="F1" s="252"/>
    </row>
    <row r="2" spans="1:6" ht="18">
      <c r="A2" s="452" t="s">
        <v>184</v>
      </c>
      <c r="B2" s="452"/>
      <c r="C2" s="452"/>
      <c r="D2" s="452"/>
      <c r="E2" s="452"/>
      <c r="F2" s="452"/>
    </row>
    <row r="3" spans="1:6" ht="13.5" thickBot="1">
      <c r="A3" s="252"/>
      <c r="B3" s="252"/>
      <c r="C3" s="252"/>
      <c r="D3" s="252"/>
      <c r="E3" s="252"/>
      <c r="F3" s="252"/>
    </row>
    <row r="4" spans="1:13" ht="25.5">
      <c r="A4" s="253" t="s">
        <v>37</v>
      </c>
      <c r="B4" s="254" t="s">
        <v>38</v>
      </c>
      <c r="C4" s="254" t="s">
        <v>39</v>
      </c>
      <c r="D4" s="254" t="s">
        <v>40</v>
      </c>
      <c r="E4" s="255" t="s">
        <v>74</v>
      </c>
      <c r="F4" s="256" t="s">
        <v>93</v>
      </c>
      <c r="H4" s="253" t="s">
        <v>37</v>
      </c>
      <c r="I4" s="254" t="s">
        <v>38</v>
      </c>
      <c r="J4" s="254" t="s">
        <v>39</v>
      </c>
      <c r="K4" s="254" t="s">
        <v>40</v>
      </c>
      <c r="L4" s="255" t="s">
        <v>74</v>
      </c>
      <c r="M4" s="256" t="s">
        <v>93</v>
      </c>
    </row>
    <row r="5" spans="1:13" ht="12.75">
      <c r="A5" s="257" t="s">
        <v>41</v>
      </c>
      <c r="B5" s="258">
        <v>6</v>
      </c>
      <c r="C5" s="263">
        <v>38</v>
      </c>
      <c r="D5" s="264">
        <f>'INPUT 3 - PRESS RUN HOURS'!N6</f>
        <v>2934.93</v>
      </c>
      <c r="E5" s="265">
        <f>B5*C5*D5</f>
        <v>669164.0399999999</v>
      </c>
      <c r="F5" s="262">
        <f>E5/E8</f>
        <v>0.4353570508718239</v>
      </c>
      <c r="H5" s="257" t="s">
        <v>41</v>
      </c>
      <c r="I5" s="258">
        <v>6</v>
      </c>
      <c r="J5" s="263">
        <v>38</v>
      </c>
      <c r="K5" s="264">
        <f>D5</f>
        <v>2934.93</v>
      </c>
      <c r="L5" s="265">
        <f>I5*J5*K5</f>
        <v>669164.0399999999</v>
      </c>
      <c r="M5" s="262">
        <f>L5/L7</f>
        <v>0.5365738296747607</v>
      </c>
    </row>
    <row r="6" spans="1:13" ht="13.5" thickBot="1">
      <c r="A6" s="257" t="s">
        <v>42</v>
      </c>
      <c r="B6" s="266">
        <v>6</v>
      </c>
      <c r="C6" s="259">
        <v>26.5</v>
      </c>
      <c r="D6" s="264">
        <f>'INPUT 3 - PRESS RUN HOURS'!N7</f>
        <v>1823.5300000000002</v>
      </c>
      <c r="E6" s="258">
        <f>B6*C6*D6</f>
        <v>289941.27</v>
      </c>
      <c r="F6" s="262">
        <f>E6/E8</f>
        <v>0.18863532510388822</v>
      </c>
      <c r="H6" s="257" t="s">
        <v>211</v>
      </c>
      <c r="I6" s="258">
        <v>6</v>
      </c>
      <c r="J6" s="259">
        <v>38.5</v>
      </c>
      <c r="K6" s="260">
        <f>D7</f>
        <v>2501.9100000000003</v>
      </c>
      <c r="L6" s="261">
        <f>I6*J6*K6</f>
        <v>577941.2100000001</v>
      </c>
      <c r="M6" s="262">
        <f>L6/L7</f>
        <v>0.46342617032523925</v>
      </c>
    </row>
    <row r="7" spans="1:13" ht="13.5" thickBot="1">
      <c r="A7" s="257" t="s">
        <v>211</v>
      </c>
      <c r="B7" s="258">
        <v>6</v>
      </c>
      <c r="C7" s="259">
        <v>38.5</v>
      </c>
      <c r="D7" s="260">
        <f>'INPUT 3 - PRESS RUN HOURS'!N8</f>
        <v>2501.9100000000003</v>
      </c>
      <c r="E7" s="261">
        <f>B7*C7*D7</f>
        <v>577941.2100000001</v>
      </c>
      <c r="F7" s="262">
        <f>E7/E8</f>
        <v>0.3760076240242879</v>
      </c>
      <c r="H7" s="267" t="s">
        <v>43</v>
      </c>
      <c r="I7" s="268" t="s">
        <v>53</v>
      </c>
      <c r="J7" s="269" t="s">
        <v>53</v>
      </c>
      <c r="K7" s="270">
        <f>SUM(K4:K5)</f>
        <v>2934.93</v>
      </c>
      <c r="L7" s="271">
        <f>SUM(L5:L6)</f>
        <v>1247105.25</v>
      </c>
      <c r="M7" s="272">
        <f>SUM(M5:M6)</f>
        <v>1</v>
      </c>
    </row>
    <row r="8" spans="1:6" ht="13.5" thickBot="1">
      <c r="A8" s="267" t="s">
        <v>43</v>
      </c>
      <c r="B8" s="273" t="s">
        <v>23</v>
      </c>
      <c r="C8" s="274"/>
      <c r="D8" s="270">
        <f>SUM(D5:D6)</f>
        <v>4758.46</v>
      </c>
      <c r="E8" s="271">
        <f>SUM(E5:E7)</f>
        <v>1537046.52</v>
      </c>
      <c r="F8" s="272">
        <f>SUM(F5:F7)</f>
        <v>1</v>
      </c>
    </row>
    <row r="9" spans="1:6" ht="12.75">
      <c r="A9" s="252"/>
      <c r="B9" s="252"/>
      <c r="C9" s="252"/>
      <c r="D9" s="252"/>
      <c r="E9" s="252"/>
      <c r="F9" s="252"/>
    </row>
    <row r="10" spans="1:6" ht="13.5" thickBot="1">
      <c r="A10" s="252"/>
      <c r="B10" s="252"/>
      <c r="C10" s="252"/>
      <c r="D10" s="252"/>
      <c r="E10" s="252"/>
      <c r="F10" s="252"/>
    </row>
    <row r="11" spans="1:6" ht="25.5">
      <c r="A11" s="253" t="s">
        <v>37</v>
      </c>
      <c r="B11" s="254" t="s">
        <v>38</v>
      </c>
      <c r="C11" s="254" t="s">
        <v>39</v>
      </c>
      <c r="D11" s="254" t="s">
        <v>40</v>
      </c>
      <c r="E11" s="255" t="s">
        <v>74</v>
      </c>
      <c r="F11" s="256" t="s">
        <v>93</v>
      </c>
    </row>
    <row r="12" spans="1:6" ht="12.75">
      <c r="A12" s="257" t="s">
        <v>41</v>
      </c>
      <c r="B12" s="258">
        <v>6</v>
      </c>
      <c r="C12" s="263">
        <v>38</v>
      </c>
      <c r="D12" s="264">
        <f>'INPUT 3 - PRESS RUN HOURS'!N6</f>
        <v>2934.93</v>
      </c>
      <c r="E12" s="265">
        <f>B12*C12*D12</f>
        <v>669164.0399999999</v>
      </c>
      <c r="F12" s="262">
        <f>E12/E14</f>
        <v>0.6976961059677586</v>
      </c>
    </row>
    <row r="13" spans="1:6" ht="13.5" thickBot="1">
      <c r="A13" s="257" t="s">
        <v>42</v>
      </c>
      <c r="B13" s="266">
        <v>6</v>
      </c>
      <c r="C13" s="259">
        <v>26.5</v>
      </c>
      <c r="D13" s="264">
        <f>'INPUT 3 - PRESS RUN HOURS'!N7</f>
        <v>1823.5300000000002</v>
      </c>
      <c r="E13" s="258">
        <f>B13*C13*D13</f>
        <v>289941.27</v>
      </c>
      <c r="F13" s="262">
        <f>E13/E14</f>
        <v>0.3023038940322414</v>
      </c>
    </row>
    <row r="14" spans="1:6" ht="13.5" thickBot="1">
      <c r="A14" s="267" t="s">
        <v>43</v>
      </c>
      <c r="B14" s="273" t="s">
        <v>23</v>
      </c>
      <c r="C14" s="274"/>
      <c r="D14" s="270">
        <f>SUM(D11:D12)</f>
        <v>2934.93</v>
      </c>
      <c r="E14" s="271">
        <f>SUM(E11:E13)</f>
        <v>959105.3099999999</v>
      </c>
      <c r="F14" s="272">
        <f>SUM(F11:F13)</f>
        <v>1</v>
      </c>
    </row>
    <row r="15" spans="1:6" ht="12.75">
      <c r="A15" s="252"/>
      <c r="B15" s="275"/>
      <c r="C15" s="252"/>
      <c r="D15" s="252"/>
      <c r="E15" s="252"/>
      <c r="F15" s="252"/>
    </row>
  </sheetData>
  <sheetProtection selectLockedCells="1" selectUnlockedCells="1"/>
  <mergeCells count="1">
    <mergeCell ref="A2:F2"/>
  </mergeCell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140625" style="277" bestFit="1" customWidth="1"/>
    <col min="2" max="2" width="10.28125" style="277" bestFit="1" customWidth="1"/>
    <col min="3" max="16384" width="9.140625" style="277" customWidth="1"/>
  </cols>
  <sheetData>
    <row r="1" ht="12.75"/>
    <row r="2" spans="2:4" ht="12.75">
      <c r="B2" s="453" t="s">
        <v>91</v>
      </c>
      <c r="C2" s="453"/>
      <c r="D2" s="453"/>
    </row>
    <row r="3" spans="2:4" ht="12.75">
      <c r="B3" s="278" t="s">
        <v>88</v>
      </c>
      <c r="C3" s="278" t="s">
        <v>89</v>
      </c>
      <c r="D3" s="278" t="s">
        <v>90</v>
      </c>
    </row>
    <row r="4" ht="12.75"/>
    <row r="5" spans="1:4" ht="12.75">
      <c r="A5" s="277" t="s">
        <v>86</v>
      </c>
      <c r="B5" s="278">
        <f>30+(0.1*70)</f>
        <v>37</v>
      </c>
      <c r="C5" s="279">
        <f>(30+(0.08*70))</f>
        <v>35.6</v>
      </c>
      <c r="D5" s="279">
        <f>C5</f>
        <v>35.6</v>
      </c>
    </row>
    <row r="6" spans="2:4" ht="12.75">
      <c r="B6" s="278"/>
      <c r="C6" s="278"/>
      <c r="D6" s="278"/>
    </row>
    <row r="7" spans="1:4" ht="12.75">
      <c r="A7" s="277" t="s">
        <v>87</v>
      </c>
      <c r="B7" s="278">
        <f>60+(0.1*40)</f>
        <v>64</v>
      </c>
      <c r="C7" s="279">
        <f>60+(0.08*40)</f>
        <v>63.2</v>
      </c>
      <c r="D7" s="279" t="s">
        <v>205</v>
      </c>
    </row>
    <row r="8" ht="12.75"/>
    <row r="9" ht="12.75"/>
    <row r="10" ht="12.75">
      <c r="B10" s="277" t="s">
        <v>206</v>
      </c>
    </row>
    <row r="11" spans="1:2" ht="12.75">
      <c r="A11" s="277" t="s">
        <v>130</v>
      </c>
      <c r="B11" s="280">
        <v>0.5</v>
      </c>
    </row>
    <row r="12" spans="1:2" ht="12.75">
      <c r="A12" s="277" t="s">
        <v>76</v>
      </c>
      <c r="B12" s="280">
        <v>1</v>
      </c>
    </row>
  </sheetData>
  <sheetProtection selectLockedCells="1" selectUnlockedCells="1"/>
  <mergeCells count="1">
    <mergeCell ref="B2:D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view="pageBreakPreview" zoomScale="85" zoomScaleNormal="80" zoomScaleSheetLayoutView="85" zoomScalePageLayoutView="0" workbookViewId="0" topLeftCell="A1">
      <selection activeCell="H17" sqref="H17"/>
    </sheetView>
  </sheetViews>
  <sheetFormatPr defaultColWidth="9.140625" defaultRowHeight="12.75"/>
  <cols>
    <col min="1" max="1" width="29.140625" style="118" customWidth="1"/>
    <col min="2" max="2" width="11.00390625" style="118" customWidth="1"/>
    <col min="3" max="3" width="9.140625" style="118" customWidth="1"/>
    <col min="4" max="4" width="12.00390625" style="118" customWidth="1"/>
    <col min="5" max="5" width="11.57421875" style="118" customWidth="1"/>
    <col min="6" max="6" width="11.140625" style="118" customWidth="1"/>
    <col min="7" max="7" width="11.421875" style="118" customWidth="1"/>
    <col min="8" max="8" width="14.28125" style="118" customWidth="1"/>
    <col min="9" max="16384" width="9.140625" style="118" customWidth="1"/>
  </cols>
  <sheetData>
    <row r="1" spans="1:14" s="87" customFormat="1" ht="12.75">
      <c r="A1" s="341" t="s">
        <v>51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</row>
    <row r="2" spans="1:14" s="87" customFormat="1" ht="12.75">
      <c r="A2" s="341" t="s">
        <v>52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3" spans="1:14" s="87" customFormat="1" ht="12.75">
      <c r="A3" s="342" t="s">
        <v>241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</row>
    <row r="4" spans="1:8" s="87" customFormat="1" ht="12.75">
      <c r="A4" s="140"/>
      <c r="B4" s="141"/>
      <c r="C4" s="141"/>
      <c r="D4" s="141"/>
      <c r="E4" s="141"/>
      <c r="F4" s="141"/>
      <c r="G4" s="141"/>
      <c r="H4" s="141"/>
    </row>
    <row r="5" s="87" customFormat="1" ht="12.75"/>
    <row r="6" spans="1:14" s="87" customFormat="1" ht="12.75">
      <c r="A6" s="94"/>
      <c r="B6" s="94" t="s">
        <v>75</v>
      </c>
      <c r="C6" s="94" t="s">
        <v>26</v>
      </c>
      <c r="D6" s="94" t="s">
        <v>27</v>
      </c>
      <c r="E6" s="94" t="s">
        <v>28</v>
      </c>
      <c r="F6" s="94" t="s">
        <v>29</v>
      </c>
      <c r="G6" s="94" t="s">
        <v>30</v>
      </c>
      <c r="H6" s="94" t="s">
        <v>31</v>
      </c>
      <c r="I6" s="94" t="s">
        <v>32</v>
      </c>
      <c r="J6" s="94" t="s">
        <v>33</v>
      </c>
      <c r="K6" s="94" t="s">
        <v>34</v>
      </c>
      <c r="L6" s="94" t="s">
        <v>35</v>
      </c>
      <c r="M6" s="94" t="s">
        <v>36</v>
      </c>
      <c r="N6" s="94" t="s">
        <v>21</v>
      </c>
    </row>
    <row r="7" spans="1:14" s="87" customFormat="1" ht="12.75">
      <c r="A7" s="94"/>
      <c r="B7" s="94" t="s">
        <v>135</v>
      </c>
      <c r="C7" s="94" t="s">
        <v>135</v>
      </c>
      <c r="D7" s="94" t="s">
        <v>135</v>
      </c>
      <c r="E7" s="94" t="s">
        <v>135</v>
      </c>
      <c r="F7" s="94" t="s">
        <v>135</v>
      </c>
      <c r="G7" s="94" t="s">
        <v>135</v>
      </c>
      <c r="H7" s="94" t="s">
        <v>135</v>
      </c>
      <c r="I7" s="94" t="s">
        <v>135</v>
      </c>
      <c r="J7" s="94" t="s">
        <v>135</v>
      </c>
      <c r="K7" s="94" t="s">
        <v>135</v>
      </c>
      <c r="L7" s="94" t="s">
        <v>135</v>
      </c>
      <c r="M7" s="94" t="s">
        <v>135</v>
      </c>
      <c r="N7" s="94" t="s">
        <v>135</v>
      </c>
    </row>
    <row r="8" spans="1:14" ht="12.75">
      <c r="A8" s="94" t="s">
        <v>126</v>
      </c>
      <c r="B8" s="134">
        <v>275</v>
      </c>
      <c r="C8" s="134">
        <v>220</v>
      </c>
      <c r="D8" s="134">
        <v>220</v>
      </c>
      <c r="E8" s="134">
        <v>275</v>
      </c>
      <c r="F8" s="123">
        <v>275</v>
      </c>
      <c r="G8" s="123">
        <v>275</v>
      </c>
      <c r="H8" s="123">
        <v>165</v>
      </c>
      <c r="I8" s="123"/>
      <c r="J8" s="123"/>
      <c r="K8" s="123"/>
      <c r="L8" s="123"/>
      <c r="M8" s="123"/>
      <c r="N8" s="230">
        <f aca="true" t="shared" si="0" ref="N8:N13">SUM(B8:M8)</f>
        <v>1705</v>
      </c>
    </row>
    <row r="9" spans="1:14" ht="12.75">
      <c r="A9" s="94" t="s">
        <v>76</v>
      </c>
      <c r="B9" s="134">
        <v>0</v>
      </c>
      <c r="C9" s="134">
        <v>110</v>
      </c>
      <c r="D9" s="134">
        <v>0</v>
      </c>
      <c r="E9" s="134">
        <v>55</v>
      </c>
      <c r="F9" s="123">
        <v>0</v>
      </c>
      <c r="G9" s="123">
        <v>0</v>
      </c>
      <c r="H9" s="123">
        <v>55</v>
      </c>
      <c r="I9" s="123"/>
      <c r="J9" s="123"/>
      <c r="K9" s="123"/>
      <c r="L9" s="123"/>
      <c r="M9" s="123"/>
      <c r="N9" s="230">
        <f t="shared" si="0"/>
        <v>220</v>
      </c>
    </row>
    <row r="10" spans="1:14" ht="12.75">
      <c r="A10" s="94" t="s">
        <v>77</v>
      </c>
      <c r="B10" s="134">
        <v>440</v>
      </c>
      <c r="C10" s="134">
        <v>165</v>
      </c>
      <c r="D10" s="134">
        <v>385</v>
      </c>
      <c r="E10" s="134">
        <v>330</v>
      </c>
      <c r="F10" s="123">
        <v>275</v>
      </c>
      <c r="G10" s="123">
        <v>275</v>
      </c>
      <c r="H10" s="123">
        <v>275</v>
      </c>
      <c r="I10" s="123"/>
      <c r="J10" s="123"/>
      <c r="K10" s="123"/>
      <c r="L10" s="123"/>
      <c r="M10" s="123"/>
      <c r="N10" s="230">
        <f t="shared" si="0"/>
        <v>2145</v>
      </c>
    </row>
    <row r="11" spans="1:14" ht="12.75">
      <c r="A11" s="94" t="s">
        <v>198</v>
      </c>
      <c r="B11" s="134">
        <v>20</v>
      </c>
      <c r="C11" s="134">
        <v>25</v>
      </c>
      <c r="D11" s="134">
        <v>15</v>
      </c>
      <c r="E11" s="134">
        <v>15</v>
      </c>
      <c r="F11" s="134">
        <v>15</v>
      </c>
      <c r="G11" s="134">
        <v>15</v>
      </c>
      <c r="H11" s="134">
        <v>0</v>
      </c>
      <c r="I11" s="134"/>
      <c r="J11" s="134"/>
      <c r="K11" s="134"/>
      <c r="L11" s="134"/>
      <c r="M11" s="134"/>
      <c r="N11" s="230">
        <f t="shared" si="0"/>
        <v>105</v>
      </c>
    </row>
    <row r="12" spans="1:14" ht="12.75">
      <c r="A12" s="94" t="s">
        <v>212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/>
      <c r="N12" s="230">
        <f t="shared" si="0"/>
        <v>0</v>
      </c>
    </row>
    <row r="13" spans="1:14" s="149" customFormat="1" ht="12.75">
      <c r="A13" s="212" t="s">
        <v>231</v>
      </c>
      <c r="B13" s="288">
        <v>110</v>
      </c>
      <c r="C13" s="288">
        <v>110</v>
      </c>
      <c r="D13" s="288">
        <v>165</v>
      </c>
      <c r="E13" s="288">
        <v>165</v>
      </c>
      <c r="F13" s="289">
        <v>110</v>
      </c>
      <c r="G13" s="289">
        <v>110</v>
      </c>
      <c r="H13" s="289">
        <v>110</v>
      </c>
      <c r="I13" s="289"/>
      <c r="J13" s="289"/>
      <c r="K13" s="289"/>
      <c r="L13" s="289"/>
      <c r="M13" s="289"/>
      <c r="N13" s="212">
        <f t="shared" si="0"/>
        <v>880</v>
      </c>
    </row>
    <row r="14" spans="1:14" s="149" customFormat="1" ht="12.75">
      <c r="A14" s="154"/>
      <c r="B14" s="154"/>
      <c r="C14" s="154"/>
      <c r="D14" s="154"/>
      <c r="E14" s="154"/>
      <c r="F14" s="231"/>
      <c r="G14" s="231"/>
      <c r="H14" s="231"/>
      <c r="I14" s="231"/>
      <c r="J14" s="231"/>
      <c r="K14" s="231"/>
      <c r="L14" s="231"/>
      <c r="M14" s="231"/>
      <c r="N14" s="154"/>
    </row>
    <row r="15" spans="1:14" s="149" customFormat="1" ht="12.75">
      <c r="A15" s="212"/>
      <c r="B15" s="212" t="s">
        <v>25</v>
      </c>
      <c r="C15" s="212" t="s">
        <v>26</v>
      </c>
      <c r="D15" s="212" t="s">
        <v>27</v>
      </c>
      <c r="E15" s="212" t="s">
        <v>28</v>
      </c>
      <c r="F15" s="212" t="s">
        <v>29</v>
      </c>
      <c r="G15" s="212" t="s">
        <v>30</v>
      </c>
      <c r="H15" s="212" t="s">
        <v>31</v>
      </c>
      <c r="I15" s="212" t="s">
        <v>32</v>
      </c>
      <c r="J15" s="212" t="s">
        <v>33</v>
      </c>
      <c r="K15" s="212" t="s">
        <v>34</v>
      </c>
      <c r="L15" s="212" t="s">
        <v>35</v>
      </c>
      <c r="M15" s="212" t="s">
        <v>36</v>
      </c>
      <c r="N15" s="212" t="s">
        <v>21</v>
      </c>
    </row>
    <row r="16" spans="1:14" s="149" customFormat="1" ht="12.75">
      <c r="A16" s="212"/>
      <c r="B16" s="212" t="s">
        <v>199</v>
      </c>
      <c r="C16" s="212" t="s">
        <v>199</v>
      </c>
      <c r="D16" s="212" t="s">
        <v>199</v>
      </c>
      <c r="E16" s="212" t="s">
        <v>199</v>
      </c>
      <c r="F16" s="212" t="s">
        <v>199</v>
      </c>
      <c r="G16" s="212" t="s">
        <v>199</v>
      </c>
      <c r="H16" s="212" t="s">
        <v>199</v>
      </c>
      <c r="I16" s="212" t="s">
        <v>199</v>
      </c>
      <c r="J16" s="212" t="s">
        <v>199</v>
      </c>
      <c r="K16" s="212" t="s">
        <v>199</v>
      </c>
      <c r="L16" s="212" t="s">
        <v>199</v>
      </c>
      <c r="M16" s="212" t="s">
        <v>199</v>
      </c>
      <c r="N16" s="212" t="s">
        <v>200</v>
      </c>
    </row>
    <row r="17" spans="1:14" ht="12.75">
      <c r="A17" s="94" t="s">
        <v>197</v>
      </c>
      <c r="B17" s="134">
        <v>100</v>
      </c>
      <c r="C17" s="134">
        <v>90</v>
      </c>
      <c r="D17" s="134">
        <v>100</v>
      </c>
      <c r="E17" s="134">
        <v>100</v>
      </c>
      <c r="F17" s="123">
        <v>150</v>
      </c>
      <c r="G17" s="123">
        <v>50</v>
      </c>
      <c r="H17" s="123">
        <v>100</v>
      </c>
      <c r="I17" s="123"/>
      <c r="J17" s="123"/>
      <c r="K17" s="123"/>
      <c r="L17" s="123"/>
      <c r="M17" s="123"/>
      <c r="N17" s="230">
        <f>SUM(B17:M17)</f>
        <v>690</v>
      </c>
    </row>
    <row r="18" s="211" customFormat="1" ht="12.75"/>
    <row r="19" spans="1:14" s="87" customFormat="1" ht="18.75" customHeight="1">
      <c r="A19" s="343" t="s">
        <v>242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</row>
    <row r="26" ht="12.75">
      <c r="H26" s="118" t="s">
        <v>23</v>
      </c>
    </row>
    <row r="38" ht="12.75">
      <c r="A38" s="119"/>
    </row>
  </sheetData>
  <sheetProtection/>
  <mergeCells count="4">
    <mergeCell ref="A1:N1"/>
    <mergeCell ref="A2:N2"/>
    <mergeCell ref="A3:N3"/>
    <mergeCell ref="A19:N19"/>
  </mergeCells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6"/>
  <sheetViews>
    <sheetView view="pageBreakPreview" zoomScale="80" zoomScaleSheetLayoutView="80" zoomScalePageLayoutView="0" workbookViewId="0" topLeftCell="A25">
      <selection activeCell="C23" sqref="C23"/>
    </sheetView>
  </sheetViews>
  <sheetFormatPr defaultColWidth="9.140625" defaultRowHeight="12.75"/>
  <cols>
    <col min="1" max="1" width="9.140625" style="118" customWidth="1"/>
    <col min="2" max="2" width="28.57421875" style="118" customWidth="1"/>
    <col min="3" max="3" width="21.57421875" style="233" customWidth="1"/>
    <col min="4" max="4" width="11.00390625" style="118" bestFit="1" customWidth="1"/>
    <col min="5" max="5" width="11.57421875" style="118" customWidth="1"/>
    <col min="6" max="7" width="12.57421875" style="118" customWidth="1"/>
    <col min="8" max="8" width="9.140625" style="232" customWidth="1"/>
    <col min="9" max="9" width="10.00390625" style="118" customWidth="1"/>
    <col min="10" max="16384" width="9.140625" style="118" customWidth="1"/>
  </cols>
  <sheetData>
    <row r="1" spans="1:8" s="87" customFormat="1" ht="12.75">
      <c r="A1" s="341" t="s">
        <v>51</v>
      </c>
      <c r="B1" s="341"/>
      <c r="C1" s="341"/>
      <c r="D1" s="341"/>
      <c r="E1" s="341"/>
      <c r="F1" s="341"/>
      <c r="H1" s="122"/>
    </row>
    <row r="2" spans="1:8" s="87" customFormat="1" ht="12.75">
      <c r="A2" s="341" t="s">
        <v>52</v>
      </c>
      <c r="B2" s="341"/>
      <c r="C2" s="341"/>
      <c r="D2" s="341"/>
      <c r="E2" s="341"/>
      <c r="F2" s="341"/>
      <c r="H2" s="122"/>
    </row>
    <row r="3" spans="1:8" s="87" customFormat="1" ht="12.75">
      <c r="A3" s="137"/>
      <c r="B3" s="137"/>
      <c r="C3" s="137"/>
      <c r="D3" s="137"/>
      <c r="E3" s="137"/>
      <c r="F3" s="137"/>
      <c r="H3" s="122"/>
    </row>
    <row r="4" spans="1:8" s="87" customFormat="1" ht="12.75">
      <c r="A4" s="333" t="s">
        <v>243</v>
      </c>
      <c r="B4" s="333"/>
      <c r="C4" s="333"/>
      <c r="D4" s="333"/>
      <c r="E4" s="333"/>
      <c r="F4" s="333"/>
      <c r="H4" s="122"/>
    </row>
    <row r="5" spans="1:8" s="87" customFormat="1" ht="12.75">
      <c r="A5" s="136"/>
      <c r="B5" s="136"/>
      <c r="C5" s="139"/>
      <c r="D5" s="136"/>
      <c r="E5" s="136"/>
      <c r="F5" s="136"/>
      <c r="H5" s="122"/>
    </row>
    <row r="6" spans="1:8" s="87" customFormat="1" ht="18">
      <c r="A6" s="344" t="s">
        <v>209</v>
      </c>
      <c r="B6" s="344"/>
      <c r="C6" s="344"/>
      <c r="D6" s="344"/>
      <c r="E6" s="344"/>
      <c r="F6" s="344"/>
      <c r="H6" s="122"/>
    </row>
    <row r="7" spans="3:8" s="87" customFormat="1" ht="12.75">
      <c r="C7" s="114"/>
      <c r="H7" s="122"/>
    </row>
    <row r="8" spans="1:8" s="87" customFormat="1" ht="38.25" customHeight="1">
      <c r="A8" s="88" t="s">
        <v>24</v>
      </c>
      <c r="B8" s="89" t="s">
        <v>18</v>
      </c>
      <c r="C8" s="90" t="s">
        <v>57</v>
      </c>
      <c r="D8" s="91" t="s">
        <v>69</v>
      </c>
      <c r="E8" s="92" t="s">
        <v>70</v>
      </c>
      <c r="H8" s="122"/>
    </row>
    <row r="9" spans="1:5" ht="12.75">
      <c r="A9" s="93" t="s">
        <v>25</v>
      </c>
      <c r="B9" s="94" t="s">
        <v>73</v>
      </c>
      <c r="C9" s="131">
        <v>59830</v>
      </c>
      <c r="D9" s="131">
        <v>22535.82</v>
      </c>
      <c r="E9" s="95">
        <f>D9/2000</f>
        <v>11.26791</v>
      </c>
    </row>
    <row r="10" spans="1:5" ht="12.75">
      <c r="A10" s="93"/>
      <c r="B10" s="94"/>
      <c r="C10" s="133"/>
      <c r="D10" s="133"/>
      <c r="E10" s="96"/>
    </row>
    <row r="11" spans="1:5" ht="12.75">
      <c r="A11" s="93" t="s">
        <v>26</v>
      </c>
      <c r="B11" s="94" t="s">
        <v>73</v>
      </c>
      <c r="C11" s="131">
        <v>48384</v>
      </c>
      <c r="D11" s="131">
        <v>19482.2</v>
      </c>
      <c r="E11" s="95">
        <f>D11/2000</f>
        <v>9.741100000000001</v>
      </c>
    </row>
    <row r="12" spans="1:5" ht="12.75">
      <c r="A12" s="93"/>
      <c r="B12" s="94"/>
      <c r="C12" s="133"/>
      <c r="D12" s="133"/>
      <c r="E12" s="96"/>
    </row>
    <row r="13" spans="1:5" ht="12.75">
      <c r="A13" s="93" t="s">
        <v>27</v>
      </c>
      <c r="B13" s="94" t="s">
        <v>73</v>
      </c>
      <c r="C13" s="131">
        <v>69085</v>
      </c>
      <c r="D13" s="131">
        <v>27864.35</v>
      </c>
      <c r="E13" s="95">
        <f>D13/2000</f>
        <v>13.932174999999999</v>
      </c>
    </row>
    <row r="14" spans="1:5" ht="12.75">
      <c r="A14" s="93"/>
      <c r="B14" s="94"/>
      <c r="C14" s="133"/>
      <c r="D14" s="133"/>
      <c r="E14" s="96"/>
    </row>
    <row r="15" spans="1:5" ht="12.75">
      <c r="A15" s="93" t="s">
        <v>28</v>
      </c>
      <c r="B15" s="94" t="s">
        <v>73</v>
      </c>
      <c r="C15" s="131">
        <v>52821</v>
      </c>
      <c r="D15" s="131">
        <v>20796.92</v>
      </c>
      <c r="E15" s="95">
        <f>D15/2000</f>
        <v>10.398459999999998</v>
      </c>
    </row>
    <row r="16" spans="1:5" ht="12.75">
      <c r="A16" s="93"/>
      <c r="B16" s="94"/>
      <c r="C16" s="133"/>
      <c r="D16" s="133"/>
      <c r="E16" s="96"/>
    </row>
    <row r="17" spans="1:5" ht="12.75">
      <c r="A17" s="93" t="s">
        <v>29</v>
      </c>
      <c r="B17" s="94" t="s">
        <v>73</v>
      </c>
      <c r="C17" s="131">
        <v>49526</v>
      </c>
      <c r="D17" s="131">
        <v>19836.36</v>
      </c>
      <c r="E17" s="138">
        <f>D17/2000</f>
        <v>9.91818</v>
      </c>
    </row>
    <row r="18" spans="1:5" ht="12.75">
      <c r="A18" s="93"/>
      <c r="B18" s="94"/>
      <c r="C18" s="132"/>
      <c r="D18" s="120"/>
      <c r="E18" s="97"/>
    </row>
    <row r="19" spans="1:5" ht="12.75">
      <c r="A19" s="93" t="s">
        <v>84</v>
      </c>
      <c r="B19" s="94" t="s">
        <v>73</v>
      </c>
      <c r="C19" s="131">
        <v>37741</v>
      </c>
      <c r="D19" s="131">
        <v>15090.14</v>
      </c>
      <c r="E19" s="138">
        <f>D19/2000</f>
        <v>7.54507</v>
      </c>
    </row>
    <row r="20" spans="1:5" ht="12.75">
      <c r="A20" s="93"/>
      <c r="B20" s="94"/>
      <c r="C20" s="132"/>
      <c r="D20" s="120"/>
      <c r="E20" s="97"/>
    </row>
    <row r="21" spans="1:5" ht="12.75">
      <c r="A21" s="93" t="s">
        <v>85</v>
      </c>
      <c r="B21" s="94" t="s">
        <v>73</v>
      </c>
      <c r="C21" s="131">
        <v>40750</v>
      </c>
      <c r="D21" s="131">
        <v>16456.21</v>
      </c>
      <c r="E21" s="138">
        <f>D21/2000</f>
        <v>8.228105</v>
      </c>
    </row>
    <row r="22" spans="1:5" ht="12.75">
      <c r="A22" s="93"/>
      <c r="B22" s="94"/>
      <c r="C22" s="132"/>
      <c r="D22" s="120"/>
      <c r="E22" s="97"/>
    </row>
    <row r="23" spans="1:5" ht="12.75">
      <c r="A23" s="93" t="s">
        <v>92</v>
      </c>
      <c r="B23" s="94" t="s">
        <v>73</v>
      </c>
      <c r="C23" s="131"/>
      <c r="D23" s="131"/>
      <c r="E23" s="138">
        <v>0</v>
      </c>
    </row>
    <row r="24" spans="1:5" ht="12.75">
      <c r="A24" s="93"/>
      <c r="B24" s="94"/>
      <c r="C24" s="117"/>
      <c r="D24" s="117"/>
      <c r="E24" s="138"/>
    </row>
    <row r="25" spans="1:5" ht="12.75">
      <c r="A25" s="93" t="s">
        <v>33</v>
      </c>
      <c r="B25" s="94" t="s">
        <v>73</v>
      </c>
      <c r="C25" s="131"/>
      <c r="D25" s="131"/>
      <c r="E25" s="138">
        <f>D25/2000</f>
        <v>0</v>
      </c>
    </row>
    <row r="26" spans="1:5" ht="12.75">
      <c r="A26" s="93"/>
      <c r="B26" s="94"/>
      <c r="C26" s="117"/>
      <c r="D26" s="117"/>
      <c r="E26" s="138"/>
    </row>
    <row r="27" spans="1:5" ht="12.75">
      <c r="A27" s="93" t="s">
        <v>34</v>
      </c>
      <c r="B27" s="94" t="s">
        <v>73</v>
      </c>
      <c r="C27" s="131"/>
      <c r="D27" s="131"/>
      <c r="E27" s="138">
        <f>D27/2000</f>
        <v>0</v>
      </c>
    </row>
    <row r="28" spans="1:5" ht="12.75">
      <c r="A28" s="93"/>
      <c r="B28" s="94"/>
      <c r="C28" s="117"/>
      <c r="D28" s="117"/>
      <c r="E28" s="138"/>
    </row>
    <row r="29" spans="1:5" ht="12.75">
      <c r="A29" s="93" t="s">
        <v>35</v>
      </c>
      <c r="B29" s="94" t="s">
        <v>73</v>
      </c>
      <c r="C29" s="131"/>
      <c r="D29" s="131"/>
      <c r="E29" s="138">
        <f>D29/2000</f>
        <v>0</v>
      </c>
    </row>
    <row r="30" spans="1:5" ht="12.75">
      <c r="A30" s="93"/>
      <c r="B30" s="94"/>
      <c r="C30" s="117"/>
      <c r="D30" s="117"/>
      <c r="E30" s="138"/>
    </row>
    <row r="31" spans="1:7" ht="12.75">
      <c r="A31" s="93" t="s">
        <v>36</v>
      </c>
      <c r="B31" s="94" t="s">
        <v>73</v>
      </c>
      <c r="C31" s="131"/>
      <c r="D31" s="131"/>
      <c r="E31" s="138">
        <f>D31/2000</f>
        <v>0</v>
      </c>
      <c r="G31" s="233"/>
    </row>
    <row r="32" spans="3:4" ht="12.75">
      <c r="C32" s="234"/>
      <c r="D32" s="233"/>
    </row>
    <row r="33" spans="1:8" s="87" customFormat="1" ht="18">
      <c r="A33" s="344" t="s">
        <v>177</v>
      </c>
      <c r="B33" s="344"/>
      <c r="C33" s="344"/>
      <c r="D33" s="344"/>
      <c r="E33" s="344"/>
      <c r="F33" s="344"/>
      <c r="G33" s="344"/>
      <c r="H33" s="344"/>
    </row>
    <row r="34" spans="3:8" s="87" customFormat="1" ht="12.75">
      <c r="C34" s="114"/>
      <c r="H34" s="122"/>
    </row>
    <row r="35" spans="1:8" s="87" customFormat="1" ht="38.25">
      <c r="A35" s="88" t="s">
        <v>24</v>
      </c>
      <c r="B35" s="89" t="s">
        <v>18</v>
      </c>
      <c r="C35" s="90" t="s">
        <v>57</v>
      </c>
      <c r="D35" s="98" t="s">
        <v>44</v>
      </c>
      <c r="E35" s="99" t="s">
        <v>45</v>
      </c>
      <c r="F35" s="91" t="s">
        <v>46</v>
      </c>
      <c r="G35" s="92" t="s">
        <v>47</v>
      </c>
      <c r="H35" s="100" t="s">
        <v>48</v>
      </c>
    </row>
    <row r="36" spans="1:8" s="87" customFormat="1" ht="12.75">
      <c r="A36" s="93" t="s">
        <v>25</v>
      </c>
      <c r="B36" s="94" t="s">
        <v>73</v>
      </c>
      <c r="C36" s="95">
        <f>C9*'% PRODUCTION'!F5</f>
        <v>26047.412353661224</v>
      </c>
      <c r="D36" s="95">
        <f>D9*'% PRODUCTION'!F5</f>
        <v>9811.128134178267</v>
      </c>
      <c r="E36" s="101">
        <v>0.8</v>
      </c>
      <c r="F36" s="101">
        <v>0.92</v>
      </c>
      <c r="G36" s="95">
        <f>D36*E36*(1-F36)</f>
        <v>627.9122005874087</v>
      </c>
      <c r="H36" s="94">
        <f>G36/2000</f>
        <v>0.31395610029370435</v>
      </c>
    </row>
    <row r="37" spans="1:8" s="87" customFormat="1" ht="12.75">
      <c r="A37" s="93"/>
      <c r="B37" s="94"/>
      <c r="C37" s="96"/>
      <c r="D37" s="96"/>
      <c r="E37" s="101"/>
      <c r="F37" s="101"/>
      <c r="G37" s="96"/>
      <c r="H37" s="115"/>
    </row>
    <row r="38" spans="1:8" s="87" customFormat="1" ht="12.75">
      <c r="A38" s="93" t="s">
        <v>26</v>
      </c>
      <c r="B38" s="94" t="s">
        <v>73</v>
      </c>
      <c r="C38" s="95">
        <f>C11*'% PRODUCTION'!F5</f>
        <v>21064.31554938233</v>
      </c>
      <c r="D38" s="95">
        <f>D11*'% PRODUCTION'!F5</f>
        <v>8481.713136495047</v>
      </c>
      <c r="E38" s="101">
        <v>0.8</v>
      </c>
      <c r="F38" s="101">
        <f>F36</f>
        <v>0.92</v>
      </c>
      <c r="G38" s="95">
        <f>D38*E38*(1-F38)</f>
        <v>542.8296407356828</v>
      </c>
      <c r="H38" s="94">
        <f>G38/2000</f>
        <v>0.2714148203678414</v>
      </c>
    </row>
    <row r="39" spans="1:8" s="87" customFormat="1" ht="12.75">
      <c r="A39" s="93"/>
      <c r="B39" s="94"/>
      <c r="C39" s="96"/>
      <c r="D39" s="96"/>
      <c r="E39" s="101"/>
      <c r="F39" s="101"/>
      <c r="G39" s="96"/>
      <c r="H39" s="115"/>
    </row>
    <row r="40" spans="1:8" s="87" customFormat="1" ht="12.75">
      <c r="A40" s="93" t="s">
        <v>27</v>
      </c>
      <c r="B40" s="94" t="s">
        <v>73</v>
      </c>
      <c r="C40" s="95">
        <f>C13*'% PRODUCTION'!F5</f>
        <v>30076.641859479954</v>
      </c>
      <c r="D40" s="95">
        <f>D13*'% PRODUCTION'!F5</f>
        <v>12130.941240460306</v>
      </c>
      <c r="E40" s="101">
        <v>0.8</v>
      </c>
      <c r="F40" s="101">
        <f>F38</f>
        <v>0.92</v>
      </c>
      <c r="G40" s="95">
        <f>D40*E40*(1-F40)</f>
        <v>776.3802393894592</v>
      </c>
      <c r="H40" s="94">
        <f>G40/2000</f>
        <v>0.3881901196947296</v>
      </c>
    </row>
    <row r="41" spans="1:8" s="87" customFormat="1" ht="12.75">
      <c r="A41" s="93"/>
      <c r="B41" s="94"/>
      <c r="C41" s="96"/>
      <c r="D41" s="96"/>
      <c r="E41" s="101"/>
      <c r="F41" s="101"/>
      <c r="G41" s="96"/>
      <c r="H41" s="115"/>
    </row>
    <row r="42" spans="1:8" s="87" customFormat="1" ht="12.75">
      <c r="A42" s="104" t="s">
        <v>28</v>
      </c>
      <c r="B42" s="107" t="s">
        <v>73</v>
      </c>
      <c r="C42" s="108">
        <f>C15*'% PRODUCTION'!F5</f>
        <v>22995.99478410061</v>
      </c>
      <c r="D42" s="108">
        <f>D15*'% PRODUCTION'!F5</f>
        <v>9054.085758417252</v>
      </c>
      <c r="E42" s="109">
        <v>0.8</v>
      </c>
      <c r="F42" s="109">
        <f>F36</f>
        <v>0.92</v>
      </c>
      <c r="G42" s="108">
        <f>D42*E42*(1-F42)</f>
        <v>579.4614885387039</v>
      </c>
      <c r="H42" s="107">
        <f>G42/2000</f>
        <v>0.2897307442693519</v>
      </c>
    </row>
    <row r="43" spans="1:8" s="87" customFormat="1" ht="12.75">
      <c r="A43" s="104"/>
      <c r="B43" s="107"/>
      <c r="C43" s="108"/>
      <c r="D43" s="108"/>
      <c r="E43" s="109"/>
      <c r="F43" s="109"/>
      <c r="G43" s="108"/>
      <c r="H43" s="107"/>
    </row>
    <row r="44" spans="1:8" s="87" customFormat="1" ht="12.75">
      <c r="A44" s="104" t="s">
        <v>29</v>
      </c>
      <c r="B44" s="107" t="s">
        <v>73</v>
      </c>
      <c r="C44" s="108">
        <f>C17*'% PRODUCTION'!F5</f>
        <v>21561.493301477953</v>
      </c>
      <c r="D44" s="108">
        <f>D17*'% PRODUCTION'!F5</f>
        <v>8635.899189631813</v>
      </c>
      <c r="E44" s="109">
        <v>0.8</v>
      </c>
      <c r="F44" s="109">
        <f>F36</f>
        <v>0.92</v>
      </c>
      <c r="G44" s="108">
        <f>D44*E44*(1-F44)</f>
        <v>552.6975481364358</v>
      </c>
      <c r="H44" s="107">
        <f>G44/2000</f>
        <v>0.2763487740682179</v>
      </c>
    </row>
    <row r="45" spans="1:8" s="87" customFormat="1" ht="12.75">
      <c r="A45" s="93"/>
      <c r="B45" s="94"/>
      <c r="C45" s="95"/>
      <c r="D45" s="95"/>
      <c r="E45" s="101"/>
      <c r="F45" s="101"/>
      <c r="G45" s="95"/>
      <c r="H45" s="94"/>
    </row>
    <row r="46" spans="1:9" s="87" customFormat="1" ht="12.75">
      <c r="A46" s="93" t="s">
        <v>84</v>
      </c>
      <c r="B46" s="94" t="s">
        <v>73</v>
      </c>
      <c r="C46" s="95">
        <f>C19*'% PRODUCTION'!F5</f>
        <v>16430.810456953506</v>
      </c>
      <c r="D46" s="95">
        <f>D19*'% PRODUCTION'!F5</f>
        <v>6569.598847642945</v>
      </c>
      <c r="E46" s="101">
        <v>0.8</v>
      </c>
      <c r="F46" s="101">
        <f>F36</f>
        <v>0.92</v>
      </c>
      <c r="G46" s="108">
        <f>D46*E46*(1-F46)</f>
        <v>420.4543262491483</v>
      </c>
      <c r="H46" s="107">
        <f>G46/2000</f>
        <v>0.21022716312457415</v>
      </c>
      <c r="I46" s="114"/>
    </row>
    <row r="47" spans="1:8" s="87" customFormat="1" ht="12.75">
      <c r="A47" s="93"/>
      <c r="B47" s="94"/>
      <c r="C47" s="95"/>
      <c r="D47" s="95"/>
      <c r="E47" s="101"/>
      <c r="F47" s="101"/>
      <c r="G47" s="95"/>
      <c r="H47" s="94"/>
    </row>
    <row r="48" spans="1:8" s="87" customFormat="1" ht="12.75">
      <c r="A48" s="93" t="s">
        <v>85</v>
      </c>
      <c r="B48" s="94" t="s">
        <v>73</v>
      </c>
      <c r="C48" s="95">
        <f>C21*'% PRODUCTION'!F5</f>
        <v>17740.799823026824</v>
      </c>
      <c r="D48" s="95">
        <f>D21*'% PRODUCTION'!F5</f>
        <v>7164.327054127417</v>
      </c>
      <c r="E48" s="109">
        <v>0.8</v>
      </c>
      <c r="F48" s="109">
        <f>F36</f>
        <v>0.92</v>
      </c>
      <c r="G48" s="108">
        <f>D48*E48*(1-F48)</f>
        <v>458.5169314641545</v>
      </c>
      <c r="H48" s="107">
        <f>G48/2000</f>
        <v>0.22925846573207725</v>
      </c>
    </row>
    <row r="49" spans="1:8" s="87" customFormat="1" ht="12.75">
      <c r="A49" s="93"/>
      <c r="B49" s="94"/>
      <c r="C49" s="95"/>
      <c r="D49" s="95"/>
      <c r="E49" s="101"/>
      <c r="F49" s="101"/>
      <c r="G49" s="95"/>
      <c r="H49" s="94"/>
    </row>
    <row r="50" spans="1:8" s="87" customFormat="1" ht="12.75">
      <c r="A50" s="93" t="s">
        <v>32</v>
      </c>
      <c r="B50" s="94" t="s">
        <v>73</v>
      </c>
      <c r="C50" s="95">
        <f>C23*'% PRODUCTION'!F5</f>
        <v>0</v>
      </c>
      <c r="D50" s="95">
        <f>D23*'% PRODUCTION'!F5</f>
        <v>0</v>
      </c>
      <c r="E50" s="109">
        <v>0.8</v>
      </c>
      <c r="F50" s="109">
        <f>F36</f>
        <v>0.92</v>
      </c>
      <c r="G50" s="108">
        <f>D50*E50*(1-F50)</f>
        <v>0</v>
      </c>
      <c r="H50" s="110">
        <f>G50/2000</f>
        <v>0</v>
      </c>
    </row>
    <row r="51" spans="1:8" s="87" customFormat="1" ht="12.75">
      <c r="A51" s="93"/>
      <c r="B51" s="94"/>
      <c r="C51" s="95"/>
      <c r="D51" s="95"/>
      <c r="E51" s="101"/>
      <c r="F51" s="101"/>
      <c r="G51" s="95"/>
      <c r="H51" s="102"/>
    </row>
    <row r="52" spans="1:8" s="87" customFormat="1" ht="12.75">
      <c r="A52" s="93" t="s">
        <v>33</v>
      </c>
      <c r="B52" s="94" t="s">
        <v>73</v>
      </c>
      <c r="C52" s="95">
        <f>C25*'% PRODUCTION'!F5</f>
        <v>0</v>
      </c>
      <c r="D52" s="95">
        <f>D25*'% PRODUCTION'!F5</f>
        <v>0</v>
      </c>
      <c r="E52" s="109">
        <v>0.8</v>
      </c>
      <c r="F52" s="109">
        <f>F36</f>
        <v>0.92</v>
      </c>
      <c r="G52" s="108">
        <f>D52*E52*(1-F52)</f>
        <v>0</v>
      </c>
      <c r="H52" s="110">
        <f>G52/2000</f>
        <v>0</v>
      </c>
    </row>
    <row r="53" spans="1:8" s="87" customFormat="1" ht="12.75">
      <c r="A53" s="93"/>
      <c r="B53" s="94"/>
      <c r="C53" s="95"/>
      <c r="D53" s="95"/>
      <c r="E53" s="101"/>
      <c r="F53" s="101"/>
      <c r="G53" s="95"/>
      <c r="H53" s="102"/>
    </row>
    <row r="54" spans="1:8" s="87" customFormat="1" ht="12.75">
      <c r="A54" s="93" t="s">
        <v>34</v>
      </c>
      <c r="B54" s="94" t="s">
        <v>73</v>
      </c>
      <c r="C54" s="95">
        <f>C27*'% PRODUCTION'!F5</f>
        <v>0</v>
      </c>
      <c r="D54" s="95">
        <f>D27*'% PRODUCTION'!F5</f>
        <v>0</v>
      </c>
      <c r="E54" s="109">
        <v>0.8</v>
      </c>
      <c r="F54" s="109">
        <f>F36</f>
        <v>0.92</v>
      </c>
      <c r="G54" s="108">
        <f>D54*E54*(1-F54)</f>
        <v>0</v>
      </c>
      <c r="H54" s="110">
        <f>G54/2000</f>
        <v>0</v>
      </c>
    </row>
    <row r="55" spans="1:8" s="87" customFormat="1" ht="12.75">
      <c r="A55" s="93"/>
      <c r="B55" s="94"/>
      <c r="C55" s="95"/>
      <c r="D55" s="95"/>
      <c r="E55" s="101"/>
      <c r="F55" s="101"/>
      <c r="G55" s="95"/>
      <c r="H55" s="102"/>
    </row>
    <row r="56" spans="1:8" s="87" customFormat="1" ht="12.75">
      <c r="A56" s="93" t="s">
        <v>35</v>
      </c>
      <c r="B56" s="94" t="s">
        <v>73</v>
      </c>
      <c r="C56" s="95">
        <f>C29*'% PRODUCTION'!F5</f>
        <v>0</v>
      </c>
      <c r="D56" s="95">
        <f>D29*'% PRODUCTION'!F5</f>
        <v>0</v>
      </c>
      <c r="E56" s="109">
        <v>0.8</v>
      </c>
      <c r="F56" s="109">
        <f>F36</f>
        <v>0.92</v>
      </c>
      <c r="G56" s="108">
        <f>D56*E56*(1-F56)</f>
        <v>0</v>
      </c>
      <c r="H56" s="110">
        <f>G56/2000</f>
        <v>0</v>
      </c>
    </row>
    <row r="57" spans="1:8" s="87" customFormat="1" ht="12.75">
      <c r="A57" s="93"/>
      <c r="B57" s="94"/>
      <c r="C57" s="95"/>
      <c r="D57" s="95"/>
      <c r="E57" s="101"/>
      <c r="F57" s="101"/>
      <c r="G57" s="95"/>
      <c r="H57" s="102"/>
    </row>
    <row r="58" spans="1:8" s="87" customFormat="1" ht="12.75">
      <c r="A58" s="93" t="s">
        <v>36</v>
      </c>
      <c r="B58" s="94" t="s">
        <v>73</v>
      </c>
      <c r="C58" s="95">
        <f>C31*'% PRODUCTION'!F5</f>
        <v>0</v>
      </c>
      <c r="D58" s="95">
        <f>D31*'% PRODUCTION'!F5</f>
        <v>0</v>
      </c>
      <c r="E58" s="101">
        <v>0.8</v>
      </c>
      <c r="F58" s="101">
        <f>F36</f>
        <v>0.92</v>
      </c>
      <c r="G58" s="95">
        <f>D58*E58*(1-F58)</f>
        <v>0</v>
      </c>
      <c r="H58" s="102">
        <f>G58/2000</f>
        <v>0</v>
      </c>
    </row>
    <row r="59" spans="1:8" s="87" customFormat="1" ht="12.75">
      <c r="A59" s="86"/>
      <c r="B59" s="111"/>
      <c r="C59" s="112"/>
      <c r="D59" s="112"/>
      <c r="E59" s="113"/>
      <c r="F59" s="113"/>
      <c r="G59" s="112"/>
      <c r="H59" s="111"/>
    </row>
    <row r="60" spans="1:8" s="87" customFormat="1" ht="18">
      <c r="A60" s="344" t="s">
        <v>178</v>
      </c>
      <c r="B60" s="344"/>
      <c r="C60" s="344"/>
      <c r="D60" s="344"/>
      <c r="E60" s="344"/>
      <c r="F60" s="344"/>
      <c r="G60" s="344"/>
      <c r="H60" s="344"/>
    </row>
    <row r="61" spans="3:8" s="87" customFormat="1" ht="12.75">
      <c r="C61" s="114"/>
      <c r="H61" s="122"/>
    </row>
    <row r="62" spans="1:8" s="87" customFormat="1" ht="38.25">
      <c r="A62" s="88" t="s">
        <v>24</v>
      </c>
      <c r="B62" s="89" t="s">
        <v>18</v>
      </c>
      <c r="C62" s="90" t="s">
        <v>57</v>
      </c>
      <c r="D62" s="98" t="s">
        <v>44</v>
      </c>
      <c r="E62" s="99" t="s">
        <v>45</v>
      </c>
      <c r="F62" s="91" t="s">
        <v>46</v>
      </c>
      <c r="G62" s="92" t="s">
        <v>47</v>
      </c>
      <c r="H62" s="100" t="s">
        <v>48</v>
      </c>
    </row>
    <row r="63" spans="1:8" s="87" customFormat="1" ht="12.75">
      <c r="A63" s="93" t="s">
        <v>25</v>
      </c>
      <c r="B63" s="94" t="s">
        <v>73</v>
      </c>
      <c r="C63" s="95">
        <f>C9*'% PRODUCTION'!F6</f>
        <v>11286.051500965632</v>
      </c>
      <c r="D63" s="95">
        <f>D9*'% PRODUCTION'!F6</f>
        <v>4251.0517321827065</v>
      </c>
      <c r="E63" s="101">
        <v>0.8</v>
      </c>
      <c r="F63" s="101">
        <f>F36</f>
        <v>0.92</v>
      </c>
      <c r="G63" s="95">
        <f>D63*E63*(1-F63)</f>
        <v>272.0673108596931</v>
      </c>
      <c r="H63" s="94">
        <f>G63/2000</f>
        <v>0.13603365542984655</v>
      </c>
    </row>
    <row r="64" spans="1:8" s="87" customFormat="1" ht="12.75">
      <c r="A64" s="93"/>
      <c r="B64" s="94"/>
      <c r="C64" s="96"/>
      <c r="D64" s="96"/>
      <c r="E64" s="101"/>
      <c r="F64" s="101"/>
      <c r="G64" s="96"/>
      <c r="H64" s="115"/>
    </row>
    <row r="65" spans="1:8" s="87" customFormat="1" ht="12.75">
      <c r="A65" s="93" t="s">
        <v>26</v>
      </c>
      <c r="B65" s="94" t="s">
        <v>73</v>
      </c>
      <c r="C65" s="95">
        <f>C11*'% PRODUCTION'!F6</f>
        <v>9126.931569826527</v>
      </c>
      <c r="D65" s="95">
        <f>D11*'% PRODUCTION'!F6</f>
        <v>3675.031130738971</v>
      </c>
      <c r="E65" s="101">
        <v>0.8</v>
      </c>
      <c r="F65" s="101">
        <f>F63</f>
        <v>0.92</v>
      </c>
      <c r="G65" s="95">
        <f>D65*E65*(1-F65)</f>
        <v>235.20199236729403</v>
      </c>
      <c r="H65" s="94">
        <f>G65/2000</f>
        <v>0.11760099618364701</v>
      </c>
    </row>
    <row r="66" spans="1:8" s="87" customFormat="1" ht="12.75">
      <c r="A66" s="93"/>
      <c r="B66" s="94"/>
      <c r="C66" s="96"/>
      <c r="D66" s="96"/>
      <c r="E66" s="101"/>
      <c r="F66" s="101"/>
      <c r="G66" s="96"/>
      <c r="H66" s="115"/>
    </row>
    <row r="67" spans="1:8" s="87" customFormat="1" ht="12.75">
      <c r="A67" s="93" t="s">
        <v>27</v>
      </c>
      <c r="B67" s="94" t="s">
        <v>73</v>
      </c>
      <c r="C67" s="95">
        <f>C13*'% PRODUCTION'!F6</f>
        <v>13031.871434802119</v>
      </c>
      <c r="D67" s="95">
        <f>D13*'% PRODUCTION'!F6</f>
        <v>5256.200721058528</v>
      </c>
      <c r="E67" s="101">
        <v>0.8</v>
      </c>
      <c r="F67" s="101">
        <f>F63</f>
        <v>0.92</v>
      </c>
      <c r="G67" s="95">
        <f>D67*E67*(1-F67)</f>
        <v>336.39684614774563</v>
      </c>
      <c r="H67" s="94">
        <f>G67/2000</f>
        <v>0.1681984230738728</v>
      </c>
    </row>
    <row r="68" spans="1:8" s="87" customFormat="1" ht="12.75">
      <c r="A68" s="93"/>
      <c r="B68" s="94"/>
      <c r="C68" s="96"/>
      <c r="D68" s="96"/>
      <c r="E68" s="101"/>
      <c r="F68" s="101"/>
      <c r="G68" s="96"/>
      <c r="H68" s="115"/>
    </row>
    <row r="69" spans="1:8" s="87" customFormat="1" ht="12.75">
      <c r="A69" s="93" t="s">
        <v>28</v>
      </c>
      <c r="B69" s="94" t="s">
        <v>73</v>
      </c>
      <c r="C69" s="95">
        <f>C15*'% PRODUCTION'!F6</f>
        <v>9963.90650731248</v>
      </c>
      <c r="D69" s="95">
        <f>D15*'% PRODUCTION'!F6</f>
        <v>3923.0337653595548</v>
      </c>
      <c r="E69" s="101">
        <v>0.8</v>
      </c>
      <c r="F69" s="101">
        <f>F63</f>
        <v>0.92</v>
      </c>
      <c r="G69" s="95">
        <f>D69*E69*(1-F69)</f>
        <v>251.0741609830114</v>
      </c>
      <c r="H69" s="94">
        <f>G69/2000</f>
        <v>0.1255370804915057</v>
      </c>
    </row>
    <row r="70" spans="1:8" s="87" customFormat="1" ht="12.75">
      <c r="A70" s="93"/>
      <c r="B70" s="94"/>
      <c r="C70" s="95"/>
      <c r="D70" s="95"/>
      <c r="E70" s="101"/>
      <c r="F70" s="101"/>
      <c r="G70" s="95"/>
      <c r="H70" s="94"/>
    </row>
    <row r="71" spans="1:8" s="87" customFormat="1" ht="12.75">
      <c r="A71" s="93" t="s">
        <v>29</v>
      </c>
      <c r="B71" s="94" t="s">
        <v>73</v>
      </c>
      <c r="C71" s="95">
        <f>C17*'% PRODUCTION'!F6</f>
        <v>9342.353111095168</v>
      </c>
      <c r="D71" s="95">
        <f>D17*'% PRODUCTION'!F6</f>
        <v>3741.8382174777644</v>
      </c>
      <c r="E71" s="101">
        <v>0.8</v>
      </c>
      <c r="F71" s="101">
        <f>F63</f>
        <v>0.92</v>
      </c>
      <c r="G71" s="95">
        <f>D71*E71*(1-F71)</f>
        <v>239.4776459185768</v>
      </c>
      <c r="H71" s="94">
        <f>G71/2000</f>
        <v>0.1197388229592884</v>
      </c>
    </row>
    <row r="72" spans="1:8" s="87" customFormat="1" ht="12.75">
      <c r="A72" s="93"/>
      <c r="B72" s="94"/>
      <c r="C72" s="95"/>
      <c r="D72" s="95"/>
      <c r="E72" s="101"/>
      <c r="F72" s="101"/>
      <c r="G72" s="95"/>
      <c r="H72" s="94"/>
    </row>
    <row r="73" spans="1:9" s="87" customFormat="1" ht="12.75">
      <c r="A73" s="93" t="s">
        <v>84</v>
      </c>
      <c r="B73" s="94" t="s">
        <v>73</v>
      </c>
      <c r="C73" s="95">
        <f>C19*'% PRODUCTION'!F6</f>
        <v>7119.285804745846</v>
      </c>
      <c r="D73" s="95">
        <f>D19*'% PRODUCTION'!F6</f>
        <v>2846.5334647631876</v>
      </c>
      <c r="E73" s="101">
        <v>0.8</v>
      </c>
      <c r="F73" s="101">
        <f>F63</f>
        <v>0.92</v>
      </c>
      <c r="G73" s="95">
        <f>D73*E73*(1-F73)</f>
        <v>182.1781417448439</v>
      </c>
      <c r="H73" s="94">
        <f>G73/2000</f>
        <v>0.09108907087242196</v>
      </c>
      <c r="I73" s="114"/>
    </row>
    <row r="74" spans="1:8" s="87" customFormat="1" ht="12.75">
      <c r="A74" s="93"/>
      <c r="B74" s="94"/>
      <c r="C74" s="95"/>
      <c r="D74" s="95"/>
      <c r="E74" s="101"/>
      <c r="F74" s="101"/>
      <c r="G74" s="95"/>
      <c r="H74" s="94"/>
    </row>
    <row r="75" spans="1:8" s="87" customFormat="1" ht="12.75">
      <c r="A75" s="93" t="s">
        <v>85</v>
      </c>
      <c r="B75" s="94" t="s">
        <v>73</v>
      </c>
      <c r="C75" s="95">
        <f>C21*'% PRODUCTION'!F6</f>
        <v>7686.889497983445</v>
      </c>
      <c r="D75" s="95">
        <f>D21*'% PRODUCTION'!F6</f>
        <v>3104.2225233278564</v>
      </c>
      <c r="E75" s="109">
        <v>0.8</v>
      </c>
      <c r="F75" s="109">
        <f>F63</f>
        <v>0.92</v>
      </c>
      <c r="G75" s="95">
        <f>D75*E75*(1-F75)</f>
        <v>198.6702414929827</v>
      </c>
      <c r="H75" s="94">
        <f>G75/2000</f>
        <v>0.09933512074649135</v>
      </c>
    </row>
    <row r="76" spans="1:8" s="87" customFormat="1" ht="12.75">
      <c r="A76" s="93"/>
      <c r="B76" s="94"/>
      <c r="C76" s="95"/>
      <c r="D76" s="95"/>
      <c r="E76" s="109"/>
      <c r="F76" s="109"/>
      <c r="G76" s="95"/>
      <c r="H76" s="94"/>
    </row>
    <row r="77" spans="1:8" s="87" customFormat="1" ht="12.75">
      <c r="A77" s="93" t="s">
        <v>32</v>
      </c>
      <c r="B77" s="94" t="s">
        <v>73</v>
      </c>
      <c r="C77" s="95">
        <f>C23*'% PRODUCTION'!F6</f>
        <v>0</v>
      </c>
      <c r="D77" s="95">
        <f>D23*'% PRODUCTION'!F6</f>
        <v>0</v>
      </c>
      <c r="E77" s="109">
        <v>0.8</v>
      </c>
      <c r="F77" s="109">
        <f>F63</f>
        <v>0.92</v>
      </c>
      <c r="G77" s="95">
        <f>D77*E77*(1-F77)</f>
        <v>0</v>
      </c>
      <c r="H77" s="102">
        <f>G77/2000</f>
        <v>0</v>
      </c>
    </row>
    <row r="78" spans="1:8" s="87" customFormat="1" ht="12.75">
      <c r="A78" s="93"/>
      <c r="B78" s="94"/>
      <c r="C78" s="95"/>
      <c r="D78" s="95"/>
      <c r="E78" s="101"/>
      <c r="F78" s="101"/>
      <c r="G78" s="95"/>
      <c r="H78" s="102"/>
    </row>
    <row r="79" spans="1:8" s="87" customFormat="1" ht="12.75">
      <c r="A79" s="93" t="s">
        <v>33</v>
      </c>
      <c r="B79" s="94" t="s">
        <v>73</v>
      </c>
      <c r="C79" s="95">
        <f>C25*'% PRODUCTION'!F6</f>
        <v>0</v>
      </c>
      <c r="D79" s="95">
        <f>D25*'% PRODUCTION'!F6</f>
        <v>0</v>
      </c>
      <c r="E79" s="109">
        <v>0.8</v>
      </c>
      <c r="F79" s="109">
        <f>F63</f>
        <v>0.92</v>
      </c>
      <c r="G79" s="95">
        <f>D79*E79*(1-F79)</f>
        <v>0</v>
      </c>
      <c r="H79" s="102">
        <f>G79/2000</f>
        <v>0</v>
      </c>
    </row>
    <row r="80" spans="1:8" s="87" customFormat="1" ht="12.75">
      <c r="A80" s="93"/>
      <c r="B80" s="94"/>
      <c r="C80" s="95"/>
      <c r="D80" s="95"/>
      <c r="E80" s="101"/>
      <c r="F80" s="101"/>
      <c r="G80" s="95"/>
      <c r="H80" s="102"/>
    </row>
    <row r="81" spans="1:8" s="87" customFormat="1" ht="12.75">
      <c r="A81" s="93" t="s">
        <v>34</v>
      </c>
      <c r="B81" s="94" t="s">
        <v>73</v>
      </c>
      <c r="C81" s="95">
        <f>C27*'% PRODUCTION'!F6</f>
        <v>0</v>
      </c>
      <c r="D81" s="95">
        <f>D27*'% PRODUCTION'!F6</f>
        <v>0</v>
      </c>
      <c r="E81" s="109">
        <v>0.8</v>
      </c>
      <c r="F81" s="109">
        <f>F63</f>
        <v>0.92</v>
      </c>
      <c r="G81" s="95">
        <f>D81*E81*(1-F81)</f>
        <v>0</v>
      </c>
      <c r="H81" s="102">
        <f>G81/2000</f>
        <v>0</v>
      </c>
    </row>
    <row r="82" spans="1:8" s="87" customFormat="1" ht="12.75">
      <c r="A82" s="93"/>
      <c r="B82" s="94"/>
      <c r="C82" s="95"/>
      <c r="D82" s="95"/>
      <c r="E82" s="101"/>
      <c r="F82" s="101"/>
      <c r="G82" s="95"/>
      <c r="H82" s="102"/>
    </row>
    <row r="83" spans="1:8" s="87" customFormat="1" ht="12.75">
      <c r="A83" s="93" t="s">
        <v>35</v>
      </c>
      <c r="B83" s="94" t="s">
        <v>73</v>
      </c>
      <c r="C83" s="95">
        <f>C29*'% PRODUCTION'!F6</f>
        <v>0</v>
      </c>
      <c r="D83" s="95">
        <f>D29*'% PRODUCTION'!F6</f>
        <v>0</v>
      </c>
      <c r="E83" s="109">
        <v>0.8</v>
      </c>
      <c r="F83" s="109">
        <f>F63</f>
        <v>0.92</v>
      </c>
      <c r="G83" s="95">
        <f>D83*E83*(1-F83)</f>
        <v>0</v>
      </c>
      <c r="H83" s="102">
        <f>G83/2000</f>
        <v>0</v>
      </c>
    </row>
    <row r="84" spans="1:8" s="87" customFormat="1" ht="12.75">
      <c r="A84" s="93"/>
      <c r="B84" s="94"/>
      <c r="C84" s="95"/>
      <c r="D84" s="95"/>
      <c r="E84" s="101"/>
      <c r="F84" s="101"/>
      <c r="G84" s="95"/>
      <c r="H84" s="102"/>
    </row>
    <row r="85" spans="1:8" s="87" customFormat="1" ht="12.75">
      <c r="A85" s="93" t="s">
        <v>36</v>
      </c>
      <c r="B85" s="94" t="s">
        <v>73</v>
      </c>
      <c r="C85" s="95">
        <f>C31*'% PRODUCTION'!F6</f>
        <v>0</v>
      </c>
      <c r="D85" s="95">
        <f>D31*'% PRODUCTION'!F6</f>
        <v>0</v>
      </c>
      <c r="E85" s="101">
        <v>0.8</v>
      </c>
      <c r="F85" s="101">
        <f>F63</f>
        <v>0.92</v>
      </c>
      <c r="G85" s="95">
        <f>D85*E85*(1-F85)</f>
        <v>0</v>
      </c>
      <c r="H85" s="102">
        <f>G85/2000</f>
        <v>0</v>
      </c>
    </row>
    <row r="86" spans="3:8" s="87" customFormat="1" ht="12.75">
      <c r="C86" s="114"/>
      <c r="D86" s="114"/>
      <c r="H86" s="122"/>
    </row>
    <row r="87" spans="1:8" s="87" customFormat="1" ht="18">
      <c r="A87" s="344" t="s">
        <v>226</v>
      </c>
      <c r="B87" s="344"/>
      <c r="C87" s="344"/>
      <c r="D87" s="344"/>
      <c r="E87" s="344"/>
      <c r="F87" s="344"/>
      <c r="G87" s="344"/>
      <c r="H87" s="344"/>
    </row>
    <row r="88" spans="3:8" s="87" customFormat="1" ht="12.75">
      <c r="C88" s="114"/>
      <c r="H88" s="122"/>
    </row>
    <row r="89" spans="1:8" s="87" customFormat="1" ht="38.25">
      <c r="A89" s="88" t="s">
        <v>24</v>
      </c>
      <c r="B89" s="89" t="s">
        <v>18</v>
      </c>
      <c r="C89" s="90" t="s">
        <v>57</v>
      </c>
      <c r="D89" s="98" t="s">
        <v>44</v>
      </c>
      <c r="E89" s="99" t="s">
        <v>45</v>
      </c>
      <c r="F89" s="91" t="s">
        <v>46</v>
      </c>
      <c r="G89" s="92" t="s">
        <v>47</v>
      </c>
      <c r="H89" s="100" t="s">
        <v>48</v>
      </c>
    </row>
    <row r="90" spans="1:9" s="87" customFormat="1" ht="12.75">
      <c r="A90" s="93" t="s">
        <v>25</v>
      </c>
      <c r="B90" s="94" t="s">
        <v>73</v>
      </c>
      <c r="C90" s="95">
        <f>C9*'% PRODUCTION'!F7</f>
        <v>22496.536145373146</v>
      </c>
      <c r="D90" s="95">
        <f>D9*'% PRODUCTION'!F7</f>
        <v>8473.640133639028</v>
      </c>
      <c r="E90" s="101">
        <v>0.8</v>
      </c>
      <c r="F90" s="101">
        <v>0.95</v>
      </c>
      <c r="G90" s="95">
        <f>D90*E90*(1-F90)</f>
        <v>338.94560534556143</v>
      </c>
      <c r="H90" s="102">
        <f>G90/2000</f>
        <v>0.16947280267278073</v>
      </c>
      <c r="I90" s="105"/>
    </row>
    <row r="91" spans="1:8" s="87" customFormat="1" ht="12.75">
      <c r="A91" s="93"/>
      <c r="B91" s="94"/>
      <c r="C91" s="96"/>
      <c r="D91" s="96"/>
      <c r="E91" s="101"/>
      <c r="F91" s="101"/>
      <c r="G91" s="96"/>
      <c r="H91" s="103"/>
    </row>
    <row r="92" spans="1:8" s="87" customFormat="1" ht="12.75">
      <c r="A92" s="93" t="s">
        <v>26</v>
      </c>
      <c r="B92" s="94" t="s">
        <v>73</v>
      </c>
      <c r="C92" s="95">
        <f>C11*'% PRODUCTION'!F7</f>
        <v>18192.752880791144</v>
      </c>
      <c r="D92" s="95">
        <f>D11*'% PRODUCTION'!F7</f>
        <v>7325.455732765982</v>
      </c>
      <c r="E92" s="101">
        <v>0.8</v>
      </c>
      <c r="F92" s="101">
        <f>F90</f>
        <v>0.95</v>
      </c>
      <c r="G92" s="95">
        <f>D92*E92*(1-F92)</f>
        <v>293.0182293106396</v>
      </c>
      <c r="H92" s="102">
        <f>G92/2000</f>
        <v>0.1465091146553198</v>
      </c>
    </row>
    <row r="93" spans="1:8" s="87" customFormat="1" ht="12.75">
      <c r="A93" s="93"/>
      <c r="B93" s="94"/>
      <c r="C93" s="96"/>
      <c r="D93" s="96"/>
      <c r="E93" s="101"/>
      <c r="F93" s="101"/>
      <c r="G93" s="96"/>
      <c r="H93" s="103"/>
    </row>
    <row r="94" spans="1:8" s="87" customFormat="1" ht="12.75">
      <c r="A94" s="93" t="s">
        <v>27</v>
      </c>
      <c r="B94" s="94" t="s">
        <v>73</v>
      </c>
      <c r="C94" s="95">
        <f>C13*'% PRODUCTION'!F7</f>
        <v>25976.48670571793</v>
      </c>
      <c r="D94" s="95">
        <f>D13*'% PRODUCTION'!F7</f>
        <v>10477.208038481165</v>
      </c>
      <c r="E94" s="101">
        <v>0.8</v>
      </c>
      <c r="F94" s="101">
        <f>F92</f>
        <v>0.95</v>
      </c>
      <c r="G94" s="95">
        <f>D94*E94*(1-F94)</f>
        <v>419.088321539247</v>
      </c>
      <c r="H94" s="102">
        <f>G94/2000</f>
        <v>0.20954416076962348</v>
      </c>
    </row>
    <row r="95" spans="1:8" s="87" customFormat="1" ht="12.75">
      <c r="A95" s="93"/>
      <c r="B95" s="94"/>
      <c r="C95" s="96"/>
      <c r="D95" s="96"/>
      <c r="E95" s="101"/>
      <c r="F95" s="101"/>
      <c r="G95" s="96"/>
      <c r="H95" s="103"/>
    </row>
    <row r="96" spans="1:8" s="87" customFormat="1" ht="12.75">
      <c r="A96" s="104" t="s">
        <v>28</v>
      </c>
      <c r="B96" s="94" t="s">
        <v>73</v>
      </c>
      <c r="C96" s="95">
        <f>C15*'% PRODUCTION'!F7</f>
        <v>19861.09870858691</v>
      </c>
      <c r="D96" s="95">
        <f>D15*'% PRODUCTION'!F7</f>
        <v>7819.800476223193</v>
      </c>
      <c r="E96" s="101">
        <v>0.8</v>
      </c>
      <c r="F96" s="101">
        <f>F94</f>
        <v>0.95</v>
      </c>
      <c r="G96" s="95">
        <f>D96*E96*(1-F96)</f>
        <v>312.792019048928</v>
      </c>
      <c r="H96" s="102">
        <f>G96/2000</f>
        <v>0.156396009524464</v>
      </c>
    </row>
    <row r="97" spans="1:8" s="87" customFormat="1" ht="12.75">
      <c r="A97" s="93"/>
      <c r="B97" s="94"/>
      <c r="C97" s="95"/>
      <c r="D97" s="95"/>
      <c r="E97" s="101"/>
      <c r="F97" s="101"/>
      <c r="G97" s="95"/>
      <c r="H97" s="102"/>
    </row>
    <row r="98" spans="1:8" s="87" customFormat="1" ht="12.75">
      <c r="A98" s="93" t="s">
        <v>29</v>
      </c>
      <c r="B98" s="94" t="s">
        <v>73</v>
      </c>
      <c r="C98" s="95">
        <f>C21*'% PRODUCTION'!F7</f>
        <v>15322.310678989732</v>
      </c>
      <c r="D98" s="95">
        <f>D17*'% PRODUCTION'!F7</f>
        <v>7458.622592890423</v>
      </c>
      <c r="E98" s="101">
        <v>0.8</v>
      </c>
      <c r="F98" s="101">
        <f>F96</f>
        <v>0.95</v>
      </c>
      <c r="G98" s="95">
        <f>D98*E98*(1-F98)</f>
        <v>298.34490371561725</v>
      </c>
      <c r="H98" s="102">
        <f>G98/2000</f>
        <v>0.1491724518578086</v>
      </c>
    </row>
    <row r="99" spans="1:8" s="87" customFormat="1" ht="12.75">
      <c r="A99" s="93"/>
      <c r="B99" s="94"/>
      <c r="C99" s="95"/>
      <c r="D99" s="95"/>
      <c r="E99" s="101"/>
      <c r="F99" s="101"/>
      <c r="G99" s="95"/>
      <c r="H99" s="102"/>
    </row>
    <row r="100" spans="1:9" s="87" customFormat="1" ht="12.75">
      <c r="A100" s="93" t="s">
        <v>84</v>
      </c>
      <c r="B100" s="94" t="s">
        <v>73</v>
      </c>
      <c r="C100" s="95">
        <f>C19*'% PRODUCTION'!F7</f>
        <v>14190.903738300649</v>
      </c>
      <c r="D100" s="95">
        <f>D19*'% PRODUCTION'!F7</f>
        <v>5674.007687593868</v>
      </c>
      <c r="E100" s="101">
        <v>0.8</v>
      </c>
      <c r="F100" s="101">
        <f>F98</f>
        <v>0.95</v>
      </c>
      <c r="G100" s="95">
        <f>D100*E100*(1-F100)</f>
        <v>226.9603075037549</v>
      </c>
      <c r="H100" s="102">
        <f>G100/2000</f>
        <v>0.11348015375187745</v>
      </c>
      <c r="I100" s="114"/>
    </row>
    <row r="101" spans="1:8" s="87" customFormat="1" ht="12.75">
      <c r="A101" s="93"/>
      <c r="B101" s="94"/>
      <c r="C101" s="95"/>
      <c r="D101" s="95"/>
      <c r="E101" s="101"/>
      <c r="F101" s="101"/>
      <c r="G101" s="95"/>
      <c r="H101" s="102"/>
    </row>
    <row r="102" spans="1:8" s="87" customFormat="1" ht="12.75">
      <c r="A102" s="93" t="s">
        <v>85</v>
      </c>
      <c r="B102" s="94" t="s">
        <v>73</v>
      </c>
      <c r="C102" s="95">
        <f>C21*'% PRODUCTION'!F7</f>
        <v>15322.310678989732</v>
      </c>
      <c r="D102" s="95">
        <f>D21*'% PRODUCTION'!F7</f>
        <v>6187.660422544726</v>
      </c>
      <c r="E102" s="101">
        <v>0.8</v>
      </c>
      <c r="F102" s="101">
        <f>F100</f>
        <v>0.95</v>
      </c>
      <c r="G102" s="95">
        <f>D102*E102*(1-F102)</f>
        <v>247.50641690178932</v>
      </c>
      <c r="H102" s="102">
        <f>G102/2000</f>
        <v>0.12375320845089466</v>
      </c>
    </row>
    <row r="103" spans="1:8" s="87" customFormat="1" ht="12.75">
      <c r="A103" s="93"/>
      <c r="B103" s="94"/>
      <c r="C103" s="95"/>
      <c r="D103" s="95"/>
      <c r="E103" s="101"/>
      <c r="F103" s="101"/>
      <c r="G103" s="95"/>
      <c r="H103" s="102"/>
    </row>
    <row r="104" spans="1:8" s="87" customFormat="1" ht="12.75">
      <c r="A104" s="93" t="s">
        <v>32</v>
      </c>
      <c r="B104" s="94" t="s">
        <v>73</v>
      </c>
      <c r="C104" s="95">
        <f>C23*'% PRODUCTION'!F7</f>
        <v>0</v>
      </c>
      <c r="D104" s="95">
        <f>D23*'% PRODUCTION'!F7</f>
        <v>0</v>
      </c>
      <c r="E104" s="101">
        <v>0.8</v>
      </c>
      <c r="F104" s="101">
        <f>F102</f>
        <v>0.95</v>
      </c>
      <c r="G104" s="95">
        <f>D104*E104*(1-F104)</f>
        <v>0</v>
      </c>
      <c r="H104" s="102">
        <f>G104/2000</f>
        <v>0</v>
      </c>
    </row>
    <row r="105" spans="1:8" s="87" customFormat="1" ht="12.75">
      <c r="A105" s="93"/>
      <c r="B105" s="94"/>
      <c r="C105" s="95"/>
      <c r="D105" s="95"/>
      <c r="E105" s="101"/>
      <c r="F105" s="101"/>
      <c r="G105" s="95"/>
      <c r="H105" s="102"/>
    </row>
    <row r="106" spans="1:8" s="87" customFormat="1" ht="12.75">
      <c r="A106" s="93" t="s">
        <v>33</v>
      </c>
      <c r="B106" s="94" t="s">
        <v>73</v>
      </c>
      <c r="C106" s="95">
        <f>C25*'% PRODUCTION'!F7</f>
        <v>0</v>
      </c>
      <c r="D106" s="95">
        <f>D23*'% PRODUCTION'!F7</f>
        <v>0</v>
      </c>
      <c r="E106" s="101">
        <v>0.8</v>
      </c>
      <c r="F106" s="101">
        <f>F104</f>
        <v>0.95</v>
      </c>
      <c r="G106" s="95">
        <f>D106*E106*(1-F106)</f>
        <v>0</v>
      </c>
      <c r="H106" s="102">
        <f>G106/2000</f>
        <v>0</v>
      </c>
    </row>
    <row r="107" spans="1:8" s="87" customFormat="1" ht="12.75">
      <c r="A107" s="93"/>
      <c r="B107" s="94"/>
      <c r="C107" s="95"/>
      <c r="D107" s="95"/>
      <c r="E107" s="101"/>
      <c r="F107" s="101"/>
      <c r="G107" s="95"/>
      <c r="H107" s="102"/>
    </row>
    <row r="108" spans="1:8" s="87" customFormat="1" ht="12.75">
      <c r="A108" s="93" t="s">
        <v>34</v>
      </c>
      <c r="B108" s="94" t="s">
        <v>73</v>
      </c>
      <c r="C108" s="95">
        <f>C27*'% PRODUCTION'!F7</f>
        <v>0</v>
      </c>
      <c r="D108" s="95">
        <f>D27*'% PRODUCTION'!F7</f>
        <v>0</v>
      </c>
      <c r="E108" s="101">
        <v>0.8</v>
      </c>
      <c r="F108" s="101">
        <f>F106</f>
        <v>0.95</v>
      </c>
      <c r="G108" s="95">
        <f>D108*E108*(1-F108)</f>
        <v>0</v>
      </c>
      <c r="H108" s="102">
        <f>G108/2000</f>
        <v>0</v>
      </c>
    </row>
    <row r="109" spans="1:8" s="87" customFormat="1" ht="12.75">
      <c r="A109" s="93"/>
      <c r="B109" s="94"/>
      <c r="C109" s="95"/>
      <c r="D109" s="95"/>
      <c r="E109" s="101"/>
      <c r="F109" s="101"/>
      <c r="G109" s="95"/>
      <c r="H109" s="102"/>
    </row>
    <row r="110" spans="1:8" s="87" customFormat="1" ht="12.75">
      <c r="A110" s="93" t="s">
        <v>35</v>
      </c>
      <c r="B110" s="94" t="s">
        <v>73</v>
      </c>
      <c r="C110" s="95">
        <f>C29*'% PRODUCTION'!F7</f>
        <v>0</v>
      </c>
      <c r="D110" s="95">
        <f>D29*'% PRODUCTION'!F7</f>
        <v>0</v>
      </c>
      <c r="E110" s="101">
        <v>0.8</v>
      </c>
      <c r="F110" s="101">
        <f>F108</f>
        <v>0.95</v>
      </c>
      <c r="G110" s="95">
        <f>D110*E110*(1-F110)</f>
        <v>0</v>
      </c>
      <c r="H110" s="102">
        <f>G110/2000</f>
        <v>0</v>
      </c>
    </row>
    <row r="111" spans="1:8" s="87" customFormat="1" ht="12.75">
      <c r="A111" s="93"/>
      <c r="B111" s="94"/>
      <c r="C111" s="95"/>
      <c r="D111" s="95"/>
      <c r="E111" s="101"/>
      <c r="F111" s="101"/>
      <c r="G111" s="95"/>
      <c r="H111" s="102"/>
    </row>
    <row r="112" spans="1:8" s="87" customFormat="1" ht="12.75">
      <c r="A112" s="93" t="s">
        <v>36</v>
      </c>
      <c r="B112" s="94" t="s">
        <v>73</v>
      </c>
      <c r="C112" s="95">
        <f>C31*'% PRODUCTION'!F7</f>
        <v>0</v>
      </c>
      <c r="D112" s="95">
        <f>D31*'% PRODUCTION'!F7</f>
        <v>0</v>
      </c>
      <c r="E112" s="101">
        <v>0.8</v>
      </c>
      <c r="F112" s="101">
        <f>F110</f>
        <v>0.95</v>
      </c>
      <c r="G112" s="95">
        <f>D112*E112*(1-F112)</f>
        <v>0</v>
      </c>
      <c r="H112" s="102">
        <f>G112/2000</f>
        <v>0</v>
      </c>
    </row>
    <row r="113" spans="3:8" s="87" customFormat="1" ht="12.75">
      <c r="C113" s="114"/>
      <c r="H113" s="122"/>
    </row>
    <row r="114" spans="3:8" s="87" customFormat="1" ht="12.75">
      <c r="C114" s="114"/>
      <c r="H114" s="122"/>
    </row>
    <row r="115" spans="3:8" s="87" customFormat="1" ht="12.75">
      <c r="C115" s="114"/>
      <c r="H115" s="122"/>
    </row>
    <row r="116" spans="3:8" s="87" customFormat="1" ht="12.75">
      <c r="C116" s="114"/>
      <c r="H116" s="122"/>
    </row>
    <row r="117" spans="3:8" s="87" customFormat="1" ht="12.75">
      <c r="C117" s="114"/>
      <c r="H117" s="122"/>
    </row>
    <row r="118" spans="3:8" s="87" customFormat="1" ht="12.75">
      <c r="C118" s="114"/>
      <c r="H118" s="122"/>
    </row>
    <row r="119" spans="3:8" s="87" customFormat="1" ht="12.75">
      <c r="C119" s="114"/>
      <c r="H119" s="122"/>
    </row>
    <row r="120" spans="3:8" s="87" customFormat="1" ht="12.75">
      <c r="C120" s="114"/>
      <c r="H120" s="122"/>
    </row>
    <row r="121" spans="3:8" s="87" customFormat="1" ht="12.75">
      <c r="C121" s="114"/>
      <c r="H121" s="122"/>
    </row>
    <row r="122" spans="3:8" s="87" customFormat="1" ht="12.75">
      <c r="C122" s="114"/>
      <c r="H122" s="122"/>
    </row>
    <row r="123" spans="3:8" s="87" customFormat="1" ht="12.75">
      <c r="C123" s="114"/>
      <c r="H123" s="122"/>
    </row>
    <row r="124" spans="3:8" s="87" customFormat="1" ht="12.75">
      <c r="C124" s="114"/>
      <c r="H124" s="122"/>
    </row>
    <row r="125" spans="3:8" s="87" customFormat="1" ht="12.75">
      <c r="C125" s="114"/>
      <c r="H125" s="122"/>
    </row>
    <row r="126" spans="3:8" s="87" customFormat="1" ht="12.75">
      <c r="C126" s="114"/>
      <c r="H126" s="122"/>
    </row>
    <row r="127" spans="3:8" s="87" customFormat="1" ht="12.75">
      <c r="C127" s="114"/>
      <c r="H127" s="122"/>
    </row>
    <row r="128" spans="3:8" s="87" customFormat="1" ht="12.75">
      <c r="C128" s="114"/>
      <c r="H128" s="122"/>
    </row>
    <row r="129" spans="3:8" s="87" customFormat="1" ht="12.75">
      <c r="C129" s="114"/>
      <c r="H129" s="122"/>
    </row>
    <row r="130" spans="3:8" s="87" customFormat="1" ht="12.75">
      <c r="C130" s="114"/>
      <c r="H130" s="122"/>
    </row>
    <row r="131" spans="3:8" s="87" customFormat="1" ht="12.75">
      <c r="C131" s="114"/>
      <c r="H131" s="122"/>
    </row>
    <row r="132" spans="3:8" s="87" customFormat="1" ht="12.75">
      <c r="C132" s="114"/>
      <c r="H132" s="122"/>
    </row>
    <row r="133" spans="3:8" s="87" customFormat="1" ht="12.75">
      <c r="C133" s="114"/>
      <c r="H133" s="122"/>
    </row>
    <row r="134" spans="3:8" s="87" customFormat="1" ht="12.75">
      <c r="C134" s="114"/>
      <c r="H134" s="122"/>
    </row>
    <row r="135" spans="3:8" s="87" customFormat="1" ht="12.75">
      <c r="C135" s="114"/>
      <c r="H135" s="122"/>
    </row>
    <row r="136" spans="3:8" s="87" customFormat="1" ht="12.75">
      <c r="C136" s="114"/>
      <c r="H136" s="122"/>
    </row>
    <row r="137" spans="3:8" s="87" customFormat="1" ht="12.75">
      <c r="C137" s="114"/>
      <c r="H137" s="122"/>
    </row>
    <row r="138" spans="3:8" s="87" customFormat="1" ht="12.75">
      <c r="C138" s="114"/>
      <c r="H138" s="122"/>
    </row>
    <row r="139" spans="3:8" s="87" customFormat="1" ht="12.75">
      <c r="C139" s="114"/>
      <c r="H139" s="122"/>
    </row>
    <row r="140" spans="3:8" s="87" customFormat="1" ht="12.75">
      <c r="C140" s="114"/>
      <c r="H140" s="122"/>
    </row>
    <row r="141" spans="3:8" s="87" customFormat="1" ht="12.75">
      <c r="C141" s="114"/>
      <c r="H141" s="122"/>
    </row>
    <row r="142" spans="3:8" s="87" customFormat="1" ht="12.75">
      <c r="C142" s="114"/>
      <c r="H142" s="122"/>
    </row>
    <row r="143" spans="3:8" s="87" customFormat="1" ht="12.75">
      <c r="C143" s="114"/>
      <c r="H143" s="122"/>
    </row>
    <row r="144" spans="3:8" s="87" customFormat="1" ht="12.75">
      <c r="C144" s="114"/>
      <c r="H144" s="122"/>
    </row>
    <row r="145" spans="3:8" s="87" customFormat="1" ht="12.75">
      <c r="C145" s="114"/>
      <c r="H145" s="122"/>
    </row>
    <row r="146" spans="3:8" s="87" customFormat="1" ht="12.75">
      <c r="C146" s="114"/>
      <c r="H146" s="122"/>
    </row>
    <row r="147" spans="3:8" s="87" customFormat="1" ht="12.75">
      <c r="C147" s="114"/>
      <c r="H147" s="122"/>
    </row>
    <row r="148" spans="3:8" s="87" customFormat="1" ht="12.75">
      <c r="C148" s="114"/>
      <c r="H148" s="122"/>
    </row>
    <row r="149" spans="3:8" s="87" customFormat="1" ht="12.75">
      <c r="C149" s="114"/>
      <c r="H149" s="122"/>
    </row>
    <row r="150" spans="3:8" s="87" customFormat="1" ht="12.75">
      <c r="C150" s="114"/>
      <c r="H150" s="122"/>
    </row>
    <row r="151" spans="3:8" s="87" customFormat="1" ht="12.75">
      <c r="C151" s="114"/>
      <c r="H151" s="122"/>
    </row>
    <row r="152" spans="3:8" s="87" customFormat="1" ht="12.75">
      <c r="C152" s="114"/>
      <c r="H152" s="122"/>
    </row>
    <row r="153" spans="3:8" s="87" customFormat="1" ht="12.75">
      <c r="C153" s="114"/>
      <c r="H153" s="122"/>
    </row>
    <row r="154" spans="3:8" s="87" customFormat="1" ht="12.75">
      <c r="C154" s="114"/>
      <c r="H154" s="122"/>
    </row>
    <row r="155" spans="3:8" s="87" customFormat="1" ht="12.75">
      <c r="C155" s="114"/>
      <c r="H155" s="122"/>
    </row>
    <row r="156" spans="3:8" s="87" customFormat="1" ht="12.75">
      <c r="C156" s="114"/>
      <c r="H156" s="122"/>
    </row>
    <row r="157" spans="3:8" s="87" customFormat="1" ht="12.75">
      <c r="C157" s="114"/>
      <c r="H157" s="122"/>
    </row>
    <row r="158" spans="3:8" s="87" customFormat="1" ht="12.75">
      <c r="C158" s="114"/>
      <c r="H158" s="122"/>
    </row>
    <row r="159" spans="3:8" s="87" customFormat="1" ht="12.75">
      <c r="C159" s="114"/>
      <c r="H159" s="122"/>
    </row>
    <row r="160" spans="3:8" s="87" customFormat="1" ht="12.75">
      <c r="C160" s="114"/>
      <c r="H160" s="122"/>
    </row>
    <row r="161" spans="3:8" s="87" customFormat="1" ht="12.75">
      <c r="C161" s="114"/>
      <c r="H161" s="122"/>
    </row>
    <row r="162" spans="3:8" s="87" customFormat="1" ht="12.75">
      <c r="C162" s="114"/>
      <c r="H162" s="122"/>
    </row>
    <row r="163" spans="3:8" s="87" customFormat="1" ht="12.75">
      <c r="C163" s="114"/>
      <c r="H163" s="122"/>
    </row>
    <row r="164" spans="3:8" s="87" customFormat="1" ht="12.75">
      <c r="C164" s="114"/>
      <c r="H164" s="122"/>
    </row>
    <row r="165" spans="3:8" s="87" customFormat="1" ht="12.75">
      <c r="C165" s="114"/>
      <c r="H165" s="122"/>
    </row>
    <row r="166" spans="3:8" s="87" customFormat="1" ht="12.75">
      <c r="C166" s="114"/>
      <c r="H166" s="122"/>
    </row>
    <row r="167" spans="3:8" s="87" customFormat="1" ht="12.75">
      <c r="C167" s="114"/>
      <c r="H167" s="122"/>
    </row>
    <row r="168" spans="3:8" s="87" customFormat="1" ht="12.75">
      <c r="C168" s="114"/>
      <c r="H168" s="122"/>
    </row>
    <row r="169" spans="3:8" s="87" customFormat="1" ht="12.75">
      <c r="C169" s="114"/>
      <c r="H169" s="122"/>
    </row>
    <row r="170" spans="3:8" s="87" customFormat="1" ht="12.75">
      <c r="C170" s="114"/>
      <c r="H170" s="122"/>
    </row>
    <row r="171" spans="3:8" s="87" customFormat="1" ht="12.75">
      <c r="C171" s="114"/>
      <c r="H171" s="122"/>
    </row>
    <row r="172" spans="3:8" s="87" customFormat="1" ht="12.75">
      <c r="C172" s="114"/>
      <c r="H172" s="122"/>
    </row>
    <row r="173" spans="3:8" s="87" customFormat="1" ht="12.75">
      <c r="C173" s="114"/>
      <c r="H173" s="122"/>
    </row>
    <row r="174" spans="3:8" s="87" customFormat="1" ht="12.75">
      <c r="C174" s="114"/>
      <c r="H174" s="122"/>
    </row>
    <row r="175" spans="3:8" s="87" customFormat="1" ht="12.75">
      <c r="C175" s="114"/>
      <c r="H175" s="122"/>
    </row>
    <row r="176" spans="3:8" s="87" customFormat="1" ht="12.75">
      <c r="C176" s="114"/>
      <c r="H176" s="122"/>
    </row>
    <row r="177" spans="3:8" s="87" customFormat="1" ht="12.75">
      <c r="C177" s="114"/>
      <c r="H177" s="122"/>
    </row>
    <row r="178" spans="3:8" s="87" customFormat="1" ht="12.75">
      <c r="C178" s="114"/>
      <c r="H178" s="122"/>
    </row>
    <row r="179" spans="3:8" s="87" customFormat="1" ht="12.75">
      <c r="C179" s="114"/>
      <c r="H179" s="122"/>
    </row>
    <row r="180" spans="3:8" s="87" customFormat="1" ht="12.75">
      <c r="C180" s="114"/>
      <c r="H180" s="122"/>
    </row>
    <row r="181" spans="3:8" s="87" customFormat="1" ht="12.75">
      <c r="C181" s="114"/>
      <c r="H181" s="122"/>
    </row>
    <row r="182" spans="3:8" s="87" customFormat="1" ht="12.75">
      <c r="C182" s="114"/>
      <c r="H182" s="122"/>
    </row>
    <row r="183" spans="3:8" s="87" customFormat="1" ht="12.75">
      <c r="C183" s="114"/>
      <c r="H183" s="122"/>
    </row>
    <row r="184" spans="3:8" s="87" customFormat="1" ht="12.75">
      <c r="C184" s="114"/>
      <c r="H184" s="122"/>
    </row>
    <row r="185" spans="3:8" s="87" customFormat="1" ht="12.75">
      <c r="C185" s="114"/>
      <c r="H185" s="122"/>
    </row>
    <row r="186" spans="3:8" s="87" customFormat="1" ht="12.75">
      <c r="C186" s="114"/>
      <c r="H186" s="122"/>
    </row>
    <row r="187" spans="3:8" s="87" customFormat="1" ht="12.75">
      <c r="C187" s="114"/>
      <c r="H187" s="122"/>
    </row>
    <row r="188" spans="3:8" s="87" customFormat="1" ht="12.75">
      <c r="C188" s="114"/>
      <c r="H188" s="122"/>
    </row>
    <row r="189" spans="3:8" s="87" customFormat="1" ht="12.75">
      <c r="C189" s="114"/>
      <c r="H189" s="122"/>
    </row>
    <row r="190" spans="3:8" s="87" customFormat="1" ht="12.75">
      <c r="C190" s="114"/>
      <c r="H190" s="122"/>
    </row>
    <row r="191" spans="3:8" s="87" customFormat="1" ht="12.75">
      <c r="C191" s="114"/>
      <c r="H191" s="122"/>
    </row>
    <row r="192" spans="3:8" s="87" customFormat="1" ht="12.75">
      <c r="C192" s="114"/>
      <c r="H192" s="122"/>
    </row>
    <row r="193" spans="3:8" s="87" customFormat="1" ht="12.75">
      <c r="C193" s="114"/>
      <c r="H193" s="122"/>
    </row>
    <row r="194" spans="3:8" s="87" customFormat="1" ht="12.75">
      <c r="C194" s="114"/>
      <c r="H194" s="122"/>
    </row>
    <row r="195" spans="3:8" s="87" customFormat="1" ht="12.75">
      <c r="C195" s="114"/>
      <c r="H195" s="122"/>
    </row>
    <row r="196" spans="3:8" s="87" customFormat="1" ht="12.75">
      <c r="C196" s="114"/>
      <c r="H196" s="122"/>
    </row>
    <row r="197" spans="3:8" s="87" customFormat="1" ht="12.75">
      <c r="C197" s="114"/>
      <c r="H197" s="122"/>
    </row>
    <row r="198" spans="3:8" s="87" customFormat="1" ht="12.75">
      <c r="C198" s="114"/>
      <c r="H198" s="122"/>
    </row>
    <row r="199" spans="3:8" s="87" customFormat="1" ht="12.75">
      <c r="C199" s="114"/>
      <c r="H199" s="122"/>
    </row>
    <row r="200" spans="3:8" s="87" customFormat="1" ht="12.75">
      <c r="C200" s="114"/>
      <c r="H200" s="122"/>
    </row>
    <row r="201" spans="3:8" s="87" customFormat="1" ht="12.75">
      <c r="C201" s="114"/>
      <c r="H201" s="122"/>
    </row>
    <row r="202" spans="3:8" s="87" customFormat="1" ht="12.75">
      <c r="C202" s="114"/>
      <c r="H202" s="122"/>
    </row>
    <row r="203" spans="3:8" s="87" customFormat="1" ht="12.75">
      <c r="C203" s="114"/>
      <c r="H203" s="122"/>
    </row>
    <row r="204" spans="3:8" s="87" customFormat="1" ht="12.75">
      <c r="C204" s="114"/>
      <c r="H204" s="122"/>
    </row>
    <row r="205" spans="3:8" s="87" customFormat="1" ht="12.75">
      <c r="C205" s="114"/>
      <c r="H205" s="122"/>
    </row>
    <row r="206" spans="3:8" s="87" customFormat="1" ht="12.75">
      <c r="C206" s="114"/>
      <c r="H206" s="122"/>
    </row>
    <row r="207" spans="3:8" s="87" customFormat="1" ht="12.75">
      <c r="C207" s="114"/>
      <c r="H207" s="122"/>
    </row>
    <row r="208" spans="3:8" s="87" customFormat="1" ht="12.75">
      <c r="C208" s="114"/>
      <c r="H208" s="122"/>
    </row>
    <row r="209" spans="3:8" s="87" customFormat="1" ht="12.75">
      <c r="C209" s="114"/>
      <c r="H209" s="122"/>
    </row>
    <row r="210" spans="3:8" s="87" customFormat="1" ht="12.75">
      <c r="C210" s="114"/>
      <c r="H210" s="122"/>
    </row>
    <row r="211" spans="3:8" s="87" customFormat="1" ht="12.75">
      <c r="C211" s="114"/>
      <c r="H211" s="122"/>
    </row>
    <row r="212" spans="3:8" s="87" customFormat="1" ht="12.75">
      <c r="C212" s="114"/>
      <c r="H212" s="122"/>
    </row>
    <row r="213" spans="3:8" s="87" customFormat="1" ht="12.75">
      <c r="C213" s="114"/>
      <c r="H213" s="122"/>
    </row>
    <row r="214" spans="3:8" s="87" customFormat="1" ht="12.75">
      <c r="C214" s="114"/>
      <c r="H214" s="122"/>
    </row>
    <row r="215" spans="3:8" s="87" customFormat="1" ht="12.75">
      <c r="C215" s="114"/>
      <c r="H215" s="122"/>
    </row>
    <row r="216" spans="3:8" s="87" customFormat="1" ht="12.75">
      <c r="C216" s="114"/>
      <c r="H216" s="122"/>
    </row>
    <row r="217" spans="3:8" s="87" customFormat="1" ht="12.75">
      <c r="C217" s="114"/>
      <c r="H217" s="122"/>
    </row>
    <row r="218" spans="3:8" s="87" customFormat="1" ht="12.75">
      <c r="C218" s="114"/>
      <c r="H218" s="122"/>
    </row>
    <row r="219" spans="3:8" s="87" customFormat="1" ht="12.75">
      <c r="C219" s="114"/>
      <c r="H219" s="122"/>
    </row>
    <row r="220" spans="3:8" s="87" customFormat="1" ht="12.75">
      <c r="C220" s="114"/>
      <c r="H220" s="122"/>
    </row>
    <row r="221" spans="3:8" s="87" customFormat="1" ht="12.75">
      <c r="C221" s="114"/>
      <c r="H221" s="122"/>
    </row>
    <row r="222" spans="3:8" s="87" customFormat="1" ht="12.75">
      <c r="C222" s="114"/>
      <c r="H222" s="122"/>
    </row>
    <row r="223" spans="3:8" s="87" customFormat="1" ht="12.75">
      <c r="C223" s="114"/>
      <c r="H223" s="122"/>
    </row>
    <row r="224" spans="3:8" s="87" customFormat="1" ht="12.75">
      <c r="C224" s="114"/>
      <c r="H224" s="122"/>
    </row>
    <row r="225" spans="3:8" s="87" customFormat="1" ht="12.75">
      <c r="C225" s="114"/>
      <c r="H225" s="122"/>
    </row>
    <row r="226" spans="3:8" s="87" customFormat="1" ht="12.75">
      <c r="C226" s="114"/>
      <c r="H226" s="122"/>
    </row>
    <row r="227" spans="3:8" s="87" customFormat="1" ht="12.75">
      <c r="C227" s="114"/>
      <c r="H227" s="122"/>
    </row>
    <row r="228" spans="3:8" s="87" customFormat="1" ht="12.75">
      <c r="C228" s="114"/>
      <c r="H228" s="122"/>
    </row>
    <row r="229" spans="3:8" s="87" customFormat="1" ht="12.75">
      <c r="C229" s="114"/>
      <c r="H229" s="122"/>
    </row>
    <row r="230" spans="3:8" s="87" customFormat="1" ht="12.75">
      <c r="C230" s="114"/>
      <c r="H230" s="122"/>
    </row>
    <row r="231" spans="3:8" s="87" customFormat="1" ht="12.75">
      <c r="C231" s="114"/>
      <c r="H231" s="122"/>
    </row>
    <row r="232" spans="3:8" s="87" customFormat="1" ht="12.75">
      <c r="C232" s="114"/>
      <c r="H232" s="122"/>
    </row>
    <row r="233" spans="3:8" s="87" customFormat="1" ht="12.75">
      <c r="C233" s="114"/>
      <c r="H233" s="122"/>
    </row>
    <row r="234" spans="3:8" s="87" customFormat="1" ht="12.75">
      <c r="C234" s="114"/>
      <c r="H234" s="122"/>
    </row>
    <row r="235" spans="3:8" s="87" customFormat="1" ht="12.75">
      <c r="C235" s="114"/>
      <c r="H235" s="122"/>
    </row>
    <row r="236" spans="3:8" s="87" customFormat="1" ht="12.75">
      <c r="C236" s="114"/>
      <c r="H236" s="122"/>
    </row>
    <row r="237" spans="3:8" s="87" customFormat="1" ht="12.75">
      <c r="C237" s="114"/>
      <c r="H237" s="122"/>
    </row>
    <row r="238" spans="3:8" s="87" customFormat="1" ht="12.75">
      <c r="C238" s="114"/>
      <c r="H238" s="122"/>
    </row>
    <row r="239" spans="3:8" s="87" customFormat="1" ht="12.75">
      <c r="C239" s="114"/>
      <c r="H239" s="122"/>
    </row>
    <row r="240" spans="3:8" s="87" customFormat="1" ht="12.75">
      <c r="C240" s="114"/>
      <c r="H240" s="122"/>
    </row>
    <row r="241" spans="3:8" s="87" customFormat="1" ht="12.75">
      <c r="C241" s="114"/>
      <c r="H241" s="122"/>
    </row>
    <row r="242" spans="3:8" s="87" customFormat="1" ht="12.75">
      <c r="C242" s="114"/>
      <c r="H242" s="122"/>
    </row>
    <row r="243" spans="3:8" s="87" customFormat="1" ht="12.75">
      <c r="C243" s="114"/>
      <c r="H243" s="122"/>
    </row>
    <row r="244" spans="3:8" s="87" customFormat="1" ht="12.75">
      <c r="C244" s="114"/>
      <c r="H244" s="122"/>
    </row>
    <row r="245" spans="3:8" s="87" customFormat="1" ht="12.75">
      <c r="C245" s="114"/>
      <c r="H245" s="122"/>
    </row>
    <row r="246" spans="3:8" s="87" customFormat="1" ht="12.75">
      <c r="C246" s="114"/>
      <c r="H246" s="122"/>
    </row>
    <row r="247" spans="3:8" s="87" customFormat="1" ht="12.75">
      <c r="C247" s="114"/>
      <c r="H247" s="122"/>
    </row>
    <row r="248" spans="3:8" s="87" customFormat="1" ht="12.75">
      <c r="C248" s="114"/>
      <c r="H248" s="122"/>
    </row>
    <row r="249" spans="3:8" s="87" customFormat="1" ht="12.75">
      <c r="C249" s="114"/>
      <c r="H249" s="122"/>
    </row>
    <row r="250" spans="3:8" s="87" customFormat="1" ht="12.75">
      <c r="C250" s="114"/>
      <c r="H250" s="122"/>
    </row>
    <row r="251" spans="3:8" s="87" customFormat="1" ht="12.75">
      <c r="C251" s="114"/>
      <c r="H251" s="122"/>
    </row>
    <row r="252" spans="3:8" s="87" customFormat="1" ht="12.75">
      <c r="C252" s="114"/>
      <c r="H252" s="122"/>
    </row>
    <row r="253" spans="3:8" s="87" customFormat="1" ht="12.75">
      <c r="C253" s="114"/>
      <c r="H253" s="122"/>
    </row>
    <row r="254" spans="3:8" s="87" customFormat="1" ht="12.75">
      <c r="C254" s="114"/>
      <c r="H254" s="122"/>
    </row>
    <row r="255" spans="3:8" s="87" customFormat="1" ht="12.75">
      <c r="C255" s="114"/>
      <c r="H255" s="122"/>
    </row>
    <row r="256" spans="3:8" s="87" customFormat="1" ht="12.75">
      <c r="C256" s="114"/>
      <c r="H256" s="122"/>
    </row>
    <row r="257" spans="3:8" s="87" customFormat="1" ht="12.75">
      <c r="C257" s="114"/>
      <c r="H257" s="122"/>
    </row>
    <row r="258" spans="3:8" s="87" customFormat="1" ht="12.75">
      <c r="C258" s="114"/>
      <c r="H258" s="122"/>
    </row>
    <row r="259" spans="3:8" s="87" customFormat="1" ht="12.75">
      <c r="C259" s="114"/>
      <c r="H259" s="122"/>
    </row>
    <row r="260" spans="3:8" s="87" customFormat="1" ht="12.75">
      <c r="C260" s="114"/>
      <c r="H260" s="122"/>
    </row>
    <row r="261" spans="3:8" s="87" customFormat="1" ht="12.75">
      <c r="C261" s="114"/>
      <c r="H261" s="122"/>
    </row>
    <row r="262" spans="3:8" s="87" customFormat="1" ht="12.75">
      <c r="C262" s="114"/>
      <c r="H262" s="122"/>
    </row>
    <row r="263" spans="3:8" s="87" customFormat="1" ht="12.75">
      <c r="C263" s="114"/>
      <c r="H263" s="122"/>
    </row>
    <row r="264" spans="3:8" s="87" customFormat="1" ht="12.75">
      <c r="C264" s="114"/>
      <c r="H264" s="122"/>
    </row>
    <row r="265" spans="3:8" s="87" customFormat="1" ht="12.75">
      <c r="C265" s="114"/>
      <c r="H265" s="122"/>
    </row>
    <row r="266" spans="3:8" s="87" customFormat="1" ht="12.75">
      <c r="C266" s="114"/>
      <c r="H266" s="122"/>
    </row>
    <row r="267" spans="3:8" s="87" customFormat="1" ht="12.75">
      <c r="C267" s="114"/>
      <c r="H267" s="122"/>
    </row>
    <row r="268" spans="3:8" s="87" customFormat="1" ht="12.75">
      <c r="C268" s="114"/>
      <c r="H268" s="122"/>
    </row>
    <row r="269" spans="3:8" s="87" customFormat="1" ht="12.75">
      <c r="C269" s="114"/>
      <c r="H269" s="122"/>
    </row>
    <row r="270" spans="3:8" s="87" customFormat="1" ht="12.75">
      <c r="C270" s="114"/>
      <c r="H270" s="122"/>
    </row>
    <row r="271" spans="3:8" s="87" customFormat="1" ht="12.75">
      <c r="C271" s="114"/>
      <c r="H271" s="122"/>
    </row>
    <row r="272" spans="3:8" s="87" customFormat="1" ht="12.75">
      <c r="C272" s="114"/>
      <c r="H272" s="122"/>
    </row>
    <row r="273" spans="3:8" s="87" customFormat="1" ht="12.75">
      <c r="C273" s="114"/>
      <c r="H273" s="122"/>
    </row>
    <row r="274" spans="3:8" s="87" customFormat="1" ht="12.75">
      <c r="C274" s="114"/>
      <c r="H274" s="122"/>
    </row>
    <row r="275" spans="3:8" s="87" customFormat="1" ht="12.75">
      <c r="C275" s="114"/>
      <c r="H275" s="122"/>
    </row>
    <row r="276" spans="3:8" s="87" customFormat="1" ht="12.75">
      <c r="C276" s="114"/>
      <c r="H276" s="122"/>
    </row>
  </sheetData>
  <sheetProtection selectLockedCells="1"/>
  <mergeCells count="7">
    <mergeCell ref="A1:F1"/>
    <mergeCell ref="A2:F2"/>
    <mergeCell ref="A87:H87"/>
    <mergeCell ref="A60:H60"/>
    <mergeCell ref="A33:H33"/>
    <mergeCell ref="A4:F4"/>
    <mergeCell ref="A6:F6"/>
  </mergeCells>
  <printOptions horizontalCentered="1"/>
  <pageMargins left="0.75" right="0.75" top="1" bottom="1" header="0.5" footer="0.5"/>
  <pageSetup horizontalDpi="600" verticalDpi="600" orientation="landscape" r:id="rId1"/>
  <rowBreaks count="3" manualBreakCount="3">
    <brk id="32" max="255" man="1"/>
    <brk id="59" max="255" man="1"/>
    <brk id="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view="pageBreakPreview" zoomScaleNormal="85"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15.140625" style="243" customWidth="1"/>
    <col min="2" max="2" width="12.140625" style="244" customWidth="1"/>
    <col min="3" max="3" width="8.421875" style="244" customWidth="1"/>
    <col min="4" max="5" width="9.57421875" style="244" customWidth="1"/>
    <col min="6" max="6" width="9.421875" style="244" customWidth="1"/>
    <col min="7" max="7" width="9.28125" style="244" customWidth="1"/>
    <col min="8" max="8" width="9.140625" style="244" customWidth="1"/>
    <col min="9" max="9" width="8.8515625" style="244" customWidth="1"/>
    <col min="10" max="10" width="9.00390625" style="244" customWidth="1"/>
    <col min="11" max="11" width="9.140625" style="244" customWidth="1"/>
    <col min="12" max="12" width="9.00390625" style="244" customWidth="1"/>
    <col min="13" max="13" width="9.421875" style="244" customWidth="1"/>
    <col min="14" max="14" width="12.140625" style="245" customWidth="1"/>
    <col min="15" max="15" width="10.140625" style="246" customWidth="1"/>
    <col min="16" max="16" width="8.7109375" style="118" hidden="1" customWidth="1"/>
    <col min="17" max="21" width="0" style="118" hidden="1" customWidth="1"/>
    <col min="22" max="16384" width="9.140625" style="118" customWidth="1"/>
  </cols>
  <sheetData>
    <row r="1" spans="1:14" s="87" customFormat="1" ht="12.75">
      <c r="A1" s="333" t="s">
        <v>244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="87" customFormat="1" ht="12.75"/>
    <row r="3" spans="1:14" s="87" customFormat="1" ht="12.75">
      <c r="A3" s="333" t="s">
        <v>246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</row>
    <row r="4" spans="1:15" s="87" customFormat="1" ht="12.7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20" s="87" customFormat="1" ht="12.75">
      <c r="A5" s="115"/>
      <c r="B5" s="142" t="s">
        <v>25</v>
      </c>
      <c r="C5" s="142" t="s">
        <v>26</v>
      </c>
      <c r="D5" s="142" t="s">
        <v>27</v>
      </c>
      <c r="E5" s="142" t="s">
        <v>28</v>
      </c>
      <c r="F5" s="142" t="s">
        <v>29</v>
      </c>
      <c r="G5" s="142" t="s">
        <v>30</v>
      </c>
      <c r="H5" s="142" t="s">
        <v>31</v>
      </c>
      <c r="I5" s="142" t="s">
        <v>32</v>
      </c>
      <c r="J5" s="142" t="s">
        <v>33</v>
      </c>
      <c r="K5" s="142" t="s">
        <v>34</v>
      </c>
      <c r="L5" s="142" t="s">
        <v>35</v>
      </c>
      <c r="M5" s="142" t="s">
        <v>36</v>
      </c>
      <c r="N5" s="115" t="s">
        <v>21</v>
      </c>
      <c r="O5" s="145"/>
      <c r="Q5" s="87" t="s">
        <v>122</v>
      </c>
      <c r="R5" s="87" t="s">
        <v>123</v>
      </c>
      <c r="S5" s="87" t="s">
        <v>124</v>
      </c>
      <c r="T5" s="146" t="s">
        <v>125</v>
      </c>
    </row>
    <row r="6" spans="1:21" ht="12.75">
      <c r="A6" s="124" t="s">
        <v>19</v>
      </c>
      <c r="B6" s="143">
        <v>424.27</v>
      </c>
      <c r="C6" s="143">
        <v>438.78</v>
      </c>
      <c r="D6" s="143">
        <v>476.95</v>
      </c>
      <c r="E6" s="143">
        <v>516.21</v>
      </c>
      <c r="F6" s="143">
        <v>405.11</v>
      </c>
      <c r="G6" s="143">
        <v>351.95</v>
      </c>
      <c r="H6" s="143">
        <v>321.66</v>
      </c>
      <c r="I6" s="143"/>
      <c r="J6" s="143"/>
      <c r="K6" s="143"/>
      <c r="L6" s="144"/>
      <c r="M6" s="144"/>
      <c r="N6" s="251">
        <f>SUM(B6:M6)</f>
        <v>2934.93</v>
      </c>
      <c r="O6" s="236"/>
      <c r="P6" s="237">
        <f>O6/2</f>
        <v>0</v>
      </c>
      <c r="Q6" s="238">
        <f>(M6+B6+C6)/N6</f>
        <v>0.29406152787289647</v>
      </c>
      <c r="R6" s="238">
        <f>(D6+E6+F6)/N6</f>
        <v>0.47642362850221304</v>
      </c>
      <c r="S6" s="238">
        <f>(G6+H6+I6)/N6</f>
        <v>0.22951484362489055</v>
      </c>
      <c r="T6" s="238">
        <f>(J6+K6+L6)/N6</f>
        <v>0</v>
      </c>
      <c r="U6" s="238">
        <f>SUM(Q6:T6)</f>
        <v>1</v>
      </c>
    </row>
    <row r="7" spans="1:21" ht="12.75">
      <c r="A7" s="125" t="s">
        <v>20</v>
      </c>
      <c r="B7" s="143">
        <v>260.72</v>
      </c>
      <c r="C7" s="143">
        <v>215.83</v>
      </c>
      <c r="D7" s="143">
        <v>297.54</v>
      </c>
      <c r="E7" s="143">
        <v>185.19</v>
      </c>
      <c r="F7" s="143">
        <v>260.5</v>
      </c>
      <c r="G7" s="143">
        <v>336.63</v>
      </c>
      <c r="H7" s="143">
        <v>267.12</v>
      </c>
      <c r="I7" s="143"/>
      <c r="J7" s="143"/>
      <c r="K7" s="143"/>
      <c r="L7" s="144"/>
      <c r="M7" s="144"/>
      <c r="N7" s="250">
        <f>SUM(B7:M7)</f>
        <v>1823.5300000000002</v>
      </c>
      <c r="O7" s="236"/>
      <c r="P7" s="237">
        <f>O7/2</f>
        <v>0</v>
      </c>
      <c r="Q7" s="238">
        <f>(M7+B7+C7)/N7</f>
        <v>0.26133378666652046</v>
      </c>
      <c r="R7" s="238">
        <f>(D7+E7+F7)/N7</f>
        <v>0.4075776104588353</v>
      </c>
      <c r="S7" s="238">
        <f>(G7+H7+I7)/N7</f>
        <v>0.3310886028746442</v>
      </c>
      <c r="T7" s="238">
        <f>(J7+K7+L7)/N7</f>
        <v>0</v>
      </c>
      <c r="U7" s="238">
        <f>SUM(Q7:T7)</f>
        <v>1</v>
      </c>
    </row>
    <row r="8" spans="1:21" ht="12.75">
      <c r="A8" s="124" t="s">
        <v>217</v>
      </c>
      <c r="B8" s="143">
        <v>390.78</v>
      </c>
      <c r="C8" s="143">
        <v>337.16</v>
      </c>
      <c r="D8" s="143">
        <v>350.52</v>
      </c>
      <c r="E8" s="143">
        <v>444.96</v>
      </c>
      <c r="F8" s="143">
        <v>310.91</v>
      </c>
      <c r="G8" s="143">
        <v>298.28</v>
      </c>
      <c r="H8" s="143">
        <v>369.3</v>
      </c>
      <c r="I8" s="143"/>
      <c r="J8" s="143"/>
      <c r="K8" s="143"/>
      <c r="L8" s="144"/>
      <c r="M8" s="144"/>
      <c r="N8" s="250">
        <f>SUM(B8:M8)</f>
        <v>2501.9100000000003</v>
      </c>
      <c r="O8" s="236"/>
      <c r="P8" s="237">
        <f>O8/2</f>
        <v>0</v>
      </c>
      <c r="Q8" s="238">
        <f>(M8+B8+C8)/N8</f>
        <v>0.2909537113645175</v>
      </c>
      <c r="R8" s="238">
        <f>(D8+E8+F8)/N8</f>
        <v>0.4422181453369625</v>
      </c>
      <c r="S8" s="238">
        <f>(G8+H8+I8)/N8</f>
        <v>0.2668281432985199</v>
      </c>
      <c r="T8" s="238">
        <f>(J8+K8+L8)/N8</f>
        <v>0</v>
      </c>
      <c r="U8" s="238">
        <f>SUM(Q8:T8)</f>
        <v>0.9999999999999999</v>
      </c>
    </row>
    <row r="9" spans="1:21" ht="12.75">
      <c r="A9" s="283"/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8"/>
      <c r="M9" s="328"/>
      <c r="N9" s="284"/>
      <c r="O9" s="236"/>
      <c r="P9" s="237"/>
      <c r="Q9" s="238"/>
      <c r="R9" s="238"/>
      <c r="S9" s="238"/>
      <c r="T9" s="238"/>
      <c r="U9" s="238"/>
    </row>
    <row r="10" spans="1:15" s="211" customFormat="1" ht="12.75">
      <c r="A10" s="239" t="s">
        <v>208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1"/>
      <c r="O10" s="242"/>
    </row>
    <row r="11" spans="1:15" s="211" customFormat="1" ht="12.75">
      <c r="A11" s="239"/>
      <c r="B11" s="142" t="s">
        <v>25</v>
      </c>
      <c r="C11" s="142" t="s">
        <v>26</v>
      </c>
      <c r="D11" s="142" t="s">
        <v>27</v>
      </c>
      <c r="E11" s="142" t="s">
        <v>28</v>
      </c>
      <c r="F11" s="142" t="s">
        <v>29</v>
      </c>
      <c r="G11" s="142" t="s">
        <v>30</v>
      </c>
      <c r="H11" s="142" t="s">
        <v>31</v>
      </c>
      <c r="I11" s="142" t="s">
        <v>32</v>
      </c>
      <c r="J11" s="142" t="s">
        <v>33</v>
      </c>
      <c r="K11" s="142" t="s">
        <v>34</v>
      </c>
      <c r="L11" s="142" t="s">
        <v>35</v>
      </c>
      <c r="M11" s="142" t="s">
        <v>36</v>
      </c>
      <c r="N11" s="115"/>
      <c r="O11" s="242"/>
    </row>
    <row r="12" spans="1:13" ht="12.75">
      <c r="A12" s="124" t="s">
        <v>19</v>
      </c>
      <c r="B12" s="276">
        <f>B6/SUM(B$6:B$8)</f>
        <v>0.39438727609061414</v>
      </c>
      <c r="C12" s="276">
        <f aca="true" t="shared" si="0" ref="C12:M12">C6/SUM(C$6:C$8)</f>
        <v>0.4424211258658761</v>
      </c>
      <c r="D12" s="276">
        <f t="shared" si="0"/>
        <v>0.4239517870952258</v>
      </c>
      <c r="E12" s="276">
        <f t="shared" si="0"/>
        <v>0.45030356955930073</v>
      </c>
      <c r="F12" s="276">
        <f t="shared" si="0"/>
        <v>0.41485069430221605</v>
      </c>
      <c r="G12" s="276">
        <f t="shared" si="0"/>
        <v>0.35663619966357946</v>
      </c>
      <c r="H12" s="276">
        <f t="shared" si="0"/>
        <v>0.3357339679358718</v>
      </c>
      <c r="I12" s="276" t="e">
        <f t="shared" si="0"/>
        <v>#DIV/0!</v>
      </c>
      <c r="J12" s="276" t="e">
        <f t="shared" si="0"/>
        <v>#DIV/0!</v>
      </c>
      <c r="K12" s="276" t="e">
        <f t="shared" si="0"/>
        <v>#DIV/0!</v>
      </c>
      <c r="L12" s="276" t="e">
        <f t="shared" si="0"/>
        <v>#DIV/0!</v>
      </c>
      <c r="M12" s="276" t="e">
        <f t="shared" si="0"/>
        <v>#DIV/0!</v>
      </c>
    </row>
    <row r="13" spans="1:13" ht="12.75">
      <c r="A13" s="125" t="s">
        <v>20</v>
      </c>
      <c r="B13" s="276">
        <f>B7/SUM(B$6:B$8)</f>
        <v>0.24235663757122808</v>
      </c>
      <c r="C13" s="276">
        <f aca="true" t="shared" si="1" ref="C13:M13">C7/SUM(C$6:C$8)</f>
        <v>0.2176210210028535</v>
      </c>
      <c r="D13" s="276">
        <f t="shared" si="1"/>
        <v>0.26447764908756366</v>
      </c>
      <c r="E13" s="276">
        <f t="shared" si="1"/>
        <v>0.16154611116926618</v>
      </c>
      <c r="F13" s="276">
        <f t="shared" si="1"/>
        <v>0.26676360955228773</v>
      </c>
      <c r="G13" s="276">
        <f t="shared" si="1"/>
        <v>0.3411122144985105</v>
      </c>
      <c r="H13" s="276">
        <f t="shared" si="1"/>
        <v>0.27880761523046094</v>
      </c>
      <c r="I13" s="276" t="e">
        <f t="shared" si="1"/>
        <v>#DIV/0!</v>
      </c>
      <c r="J13" s="276" t="e">
        <f t="shared" si="1"/>
        <v>#DIV/0!</v>
      </c>
      <c r="K13" s="276" t="e">
        <f t="shared" si="1"/>
        <v>#DIV/0!</v>
      </c>
      <c r="L13" s="276" t="e">
        <f t="shared" si="1"/>
        <v>#DIV/0!</v>
      </c>
      <c r="M13" s="276" t="e">
        <f t="shared" si="1"/>
        <v>#DIV/0!</v>
      </c>
    </row>
    <row r="14" spans="1:13" ht="12.75">
      <c r="A14" s="124" t="s">
        <v>217</v>
      </c>
      <c r="B14" s="276">
        <f>B8/SUM(B$6:B$8)</f>
        <v>0.36325608633815776</v>
      </c>
      <c r="C14" s="276">
        <f aca="true" t="shared" si="2" ref="C14:M14">C8/SUM(C$6:C$8)</f>
        <v>0.33995785313127036</v>
      </c>
      <c r="D14" s="276">
        <f t="shared" si="2"/>
        <v>0.3115705638172105</v>
      </c>
      <c r="E14" s="276">
        <f t="shared" si="2"/>
        <v>0.388150319271433</v>
      </c>
      <c r="F14" s="276">
        <f t="shared" si="2"/>
        <v>0.3183856961454963</v>
      </c>
      <c r="G14" s="276">
        <f t="shared" si="2"/>
        <v>0.3022515858379101</v>
      </c>
      <c r="H14" s="276">
        <f t="shared" si="2"/>
        <v>0.3854584168336674</v>
      </c>
      <c r="I14" s="276" t="e">
        <f t="shared" si="2"/>
        <v>#DIV/0!</v>
      </c>
      <c r="J14" s="276" t="e">
        <f t="shared" si="2"/>
        <v>#DIV/0!</v>
      </c>
      <c r="K14" s="276" t="e">
        <f t="shared" si="2"/>
        <v>#DIV/0!</v>
      </c>
      <c r="L14" s="276" t="e">
        <f t="shared" si="2"/>
        <v>#DIV/0!</v>
      </c>
      <c r="M14" s="276" t="e">
        <f t="shared" si="2"/>
        <v>#DIV/0!</v>
      </c>
    </row>
  </sheetData>
  <sheetProtection selectLockedCells="1"/>
  <mergeCells count="2">
    <mergeCell ref="A1:N1"/>
    <mergeCell ref="A3:N3"/>
  </mergeCells>
  <printOptions gridLines="1"/>
  <pageMargins left="0.25" right="0.25" top="0.75" bottom="0.75" header="0.5" footer="0.5"/>
  <pageSetup fitToHeight="1" fitToWidth="1" horizontalDpi="300" verticalDpi="300" orientation="landscape" pageOrder="overThenDown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view="pageBreakPreview" zoomScale="85" zoomScaleSheetLayoutView="85" zoomScalePageLayoutView="0" workbookViewId="0" topLeftCell="A1">
      <selection activeCell="H25" sqref="H25"/>
    </sheetView>
  </sheetViews>
  <sheetFormatPr defaultColWidth="9.140625" defaultRowHeight="12.75"/>
  <cols>
    <col min="1" max="1" width="30.00390625" style="118" customWidth="1"/>
    <col min="2" max="2" width="10.28125" style="118" customWidth="1"/>
    <col min="3" max="5" width="10.140625" style="118" customWidth="1"/>
    <col min="6" max="6" width="9.421875" style="118" customWidth="1"/>
    <col min="7" max="7" width="10.140625" style="118" customWidth="1"/>
    <col min="8" max="8" width="9.8515625" style="118" customWidth="1"/>
    <col min="9" max="9" width="9.421875" style="118" customWidth="1"/>
    <col min="10" max="10" width="9.57421875" style="118" customWidth="1"/>
    <col min="11" max="11" width="9.7109375" style="118" customWidth="1"/>
    <col min="12" max="12" width="9.57421875" style="118" customWidth="1"/>
    <col min="13" max="13" width="10.140625" style="118" customWidth="1"/>
    <col min="14" max="14" width="9.140625" style="118" customWidth="1"/>
    <col min="15" max="17" width="0" style="118" hidden="1" customWidth="1"/>
    <col min="18" max="16384" width="9.140625" style="118" customWidth="1"/>
  </cols>
  <sheetData>
    <row r="1" spans="1:13" s="87" customFormat="1" ht="12.75">
      <c r="A1" s="344" t="s">
        <v>251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s="87" customFormat="1" ht="12.75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</row>
    <row r="3" s="87" customFormat="1" ht="13.5" thickBot="1"/>
    <row r="4" spans="1:13" s="87" customFormat="1" ht="14.25" customHeight="1">
      <c r="A4" s="345" t="s">
        <v>247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7"/>
    </row>
    <row r="5" spans="1:13" s="87" customFormat="1" ht="14.25" customHeight="1" thickBot="1">
      <c r="A5" s="348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50"/>
    </row>
    <row r="6" spans="1:13" s="87" customFormat="1" ht="12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</row>
    <row r="7" spans="1:13" s="87" customFormat="1" ht="12.75">
      <c r="A7" s="115" t="s">
        <v>99</v>
      </c>
      <c r="B7" s="142" t="s">
        <v>25</v>
      </c>
      <c r="C7" s="142" t="s">
        <v>26</v>
      </c>
      <c r="D7" s="142" t="s">
        <v>27</v>
      </c>
      <c r="E7" s="142" t="s">
        <v>28</v>
      </c>
      <c r="F7" s="142" t="s">
        <v>29</v>
      </c>
      <c r="G7" s="142" t="s">
        <v>30</v>
      </c>
      <c r="H7" s="142" t="s">
        <v>31</v>
      </c>
      <c r="I7" s="142" t="s">
        <v>32</v>
      </c>
      <c r="J7" s="142" t="s">
        <v>33</v>
      </c>
      <c r="K7" s="142" t="s">
        <v>34</v>
      </c>
      <c r="L7" s="142" t="s">
        <v>35</v>
      </c>
      <c r="M7" s="142" t="s">
        <v>36</v>
      </c>
    </row>
    <row r="8" spans="1:13" s="232" customFormat="1" ht="12.75">
      <c r="A8" s="235" t="s">
        <v>100</v>
      </c>
      <c r="B8" s="134">
        <v>215.4</v>
      </c>
      <c r="C8" s="134">
        <v>100.3</v>
      </c>
      <c r="D8" s="134">
        <v>125.33</v>
      </c>
      <c r="E8" s="134">
        <v>199.34</v>
      </c>
      <c r="F8" s="134">
        <v>109.23</v>
      </c>
      <c r="G8" s="134">
        <v>136.86</v>
      </c>
      <c r="H8" s="134">
        <v>90.94</v>
      </c>
      <c r="I8" s="134"/>
      <c r="J8" s="134"/>
      <c r="K8" s="134"/>
      <c r="L8" s="134"/>
      <c r="M8" s="134"/>
    </row>
    <row r="9" s="87" customFormat="1" ht="13.5" thickBot="1"/>
    <row r="10" spans="1:13" s="87" customFormat="1" ht="12.75">
      <c r="A10" s="345" t="s">
        <v>248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7"/>
    </row>
    <row r="11" spans="1:13" s="87" customFormat="1" ht="15.75" customHeight="1" thickBot="1">
      <c r="A11" s="348"/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50"/>
    </row>
    <row r="12" s="87" customFormat="1" ht="12.75"/>
    <row r="13" spans="1:13" s="87" customFormat="1" ht="12.75">
      <c r="A13" s="115" t="s">
        <v>102</v>
      </c>
      <c r="B13" s="142" t="str">
        <f>B7</f>
        <v>JAN</v>
      </c>
      <c r="C13" s="142" t="str">
        <f aca="true" t="shared" si="0" ref="C13:M13">C7</f>
        <v>FEB</v>
      </c>
      <c r="D13" s="142" t="str">
        <f t="shared" si="0"/>
        <v>MAR</v>
      </c>
      <c r="E13" s="142" t="str">
        <f t="shared" si="0"/>
        <v>APR</v>
      </c>
      <c r="F13" s="142" t="str">
        <f t="shared" si="0"/>
        <v>MAY</v>
      </c>
      <c r="G13" s="142" t="str">
        <f t="shared" si="0"/>
        <v>JUN</v>
      </c>
      <c r="H13" s="142" t="str">
        <f t="shared" si="0"/>
        <v>JUL</v>
      </c>
      <c r="I13" s="142" t="str">
        <f t="shared" si="0"/>
        <v>AUG</v>
      </c>
      <c r="J13" s="142" t="str">
        <f t="shared" si="0"/>
        <v>SEP</v>
      </c>
      <c r="K13" s="142" t="str">
        <f t="shared" si="0"/>
        <v>OCT</v>
      </c>
      <c r="L13" s="142" t="str">
        <f t="shared" si="0"/>
        <v>NOV</v>
      </c>
      <c r="M13" s="142" t="str">
        <f t="shared" si="0"/>
        <v>DEC</v>
      </c>
    </row>
    <row r="14" spans="1:13" ht="12.75">
      <c r="A14" s="120" t="s">
        <v>108</v>
      </c>
      <c r="B14" s="134">
        <v>15</v>
      </c>
      <c r="C14" s="134">
        <v>10</v>
      </c>
      <c r="D14" s="134">
        <v>12</v>
      </c>
      <c r="E14" s="134">
        <v>20</v>
      </c>
      <c r="F14" s="134">
        <v>15</v>
      </c>
      <c r="G14" s="134">
        <v>15</v>
      </c>
      <c r="H14" s="134">
        <v>10</v>
      </c>
      <c r="I14" s="134"/>
      <c r="J14" s="134"/>
      <c r="K14" s="134"/>
      <c r="L14" s="134"/>
      <c r="M14" s="134"/>
    </row>
    <row r="15" spans="1:13" s="87" customFormat="1" ht="12.75">
      <c r="A15" s="97" t="s">
        <v>110</v>
      </c>
      <c r="B15" s="116">
        <v>0</v>
      </c>
      <c r="C15" s="116">
        <f aca="true" t="shared" si="1" ref="C15:M15">C14*$B$53</f>
        <v>89.16666666666669</v>
      </c>
      <c r="D15" s="116">
        <f t="shared" si="1"/>
        <v>107.00000000000001</v>
      </c>
      <c r="E15" s="116">
        <f t="shared" si="1"/>
        <v>178.33333333333337</v>
      </c>
      <c r="F15" s="116">
        <f t="shared" si="1"/>
        <v>133.75000000000003</v>
      </c>
      <c r="G15" s="116">
        <f t="shared" si="1"/>
        <v>133.75000000000003</v>
      </c>
      <c r="H15" s="116">
        <f t="shared" si="1"/>
        <v>89.16666666666669</v>
      </c>
      <c r="I15" s="116">
        <f t="shared" si="1"/>
        <v>0</v>
      </c>
      <c r="J15" s="116">
        <f t="shared" si="1"/>
        <v>0</v>
      </c>
      <c r="K15" s="116">
        <f t="shared" si="1"/>
        <v>0</v>
      </c>
      <c r="L15" s="116">
        <f t="shared" si="1"/>
        <v>0</v>
      </c>
      <c r="M15" s="116">
        <f t="shared" si="1"/>
        <v>0</v>
      </c>
    </row>
    <row r="16" spans="1:13" s="87" customFormat="1" ht="12.75">
      <c r="A16" s="97" t="s">
        <v>216</v>
      </c>
      <c r="B16" s="285">
        <v>0</v>
      </c>
      <c r="C16" s="285">
        <v>0</v>
      </c>
      <c r="D16" s="285">
        <v>0</v>
      </c>
      <c r="E16" s="285">
        <v>0</v>
      </c>
      <c r="F16" s="285">
        <v>0</v>
      </c>
      <c r="G16" s="285">
        <v>0</v>
      </c>
      <c r="H16" s="285">
        <v>0</v>
      </c>
      <c r="I16" s="285">
        <v>0</v>
      </c>
      <c r="J16" s="285">
        <v>0</v>
      </c>
      <c r="K16" s="285">
        <v>0</v>
      </c>
      <c r="L16" s="285">
        <v>0</v>
      </c>
      <c r="M16" s="285">
        <v>0</v>
      </c>
    </row>
    <row r="17" spans="1:13" s="87" customFormat="1" ht="12.75">
      <c r="A17" s="97" t="s">
        <v>215</v>
      </c>
      <c r="B17" s="116">
        <v>0</v>
      </c>
      <c r="C17" s="116">
        <f aca="true" t="shared" si="2" ref="C17:M17">C16*$B$54</f>
        <v>0</v>
      </c>
      <c r="D17" s="116">
        <f t="shared" si="2"/>
        <v>0</v>
      </c>
      <c r="E17" s="116">
        <f t="shared" si="2"/>
        <v>0</v>
      </c>
      <c r="F17" s="116">
        <f t="shared" si="2"/>
        <v>0</v>
      </c>
      <c r="G17" s="116">
        <f t="shared" si="2"/>
        <v>0</v>
      </c>
      <c r="H17" s="116">
        <f t="shared" si="2"/>
        <v>0</v>
      </c>
      <c r="I17" s="116">
        <f t="shared" si="2"/>
        <v>0</v>
      </c>
      <c r="J17" s="116">
        <f t="shared" si="2"/>
        <v>0</v>
      </c>
      <c r="K17" s="116">
        <f t="shared" si="2"/>
        <v>0</v>
      </c>
      <c r="L17" s="116">
        <f t="shared" si="2"/>
        <v>0</v>
      </c>
      <c r="M17" s="116">
        <f t="shared" si="2"/>
        <v>0</v>
      </c>
    </row>
    <row r="18" spans="1:13" ht="12.75">
      <c r="A18" s="120" t="s">
        <v>109</v>
      </c>
      <c r="B18" s="134">
        <v>25</v>
      </c>
      <c r="C18" s="134">
        <v>15</v>
      </c>
      <c r="D18" s="134">
        <v>15</v>
      </c>
      <c r="E18" s="134">
        <v>25</v>
      </c>
      <c r="F18" s="134">
        <v>20</v>
      </c>
      <c r="G18" s="134">
        <v>25</v>
      </c>
      <c r="H18" s="134">
        <v>15</v>
      </c>
      <c r="I18" s="134"/>
      <c r="J18" s="134"/>
      <c r="K18" s="134"/>
      <c r="L18" s="134"/>
      <c r="M18" s="134"/>
    </row>
    <row r="19" spans="1:13" s="87" customFormat="1" ht="12.75">
      <c r="A19" s="97" t="s">
        <v>111</v>
      </c>
      <c r="B19" s="116">
        <v>0</v>
      </c>
      <c r="C19" s="116">
        <f aca="true" t="shared" si="3" ref="C19:M19">C18*$B$55</f>
        <v>120</v>
      </c>
      <c r="D19" s="116">
        <f t="shared" si="3"/>
        <v>120</v>
      </c>
      <c r="E19" s="116">
        <f t="shared" si="3"/>
        <v>200</v>
      </c>
      <c r="F19" s="116">
        <f t="shared" si="3"/>
        <v>160</v>
      </c>
      <c r="G19" s="116">
        <f t="shared" si="3"/>
        <v>200</v>
      </c>
      <c r="H19" s="116">
        <f t="shared" si="3"/>
        <v>120</v>
      </c>
      <c r="I19" s="116">
        <f t="shared" si="3"/>
        <v>0</v>
      </c>
      <c r="J19" s="116">
        <f t="shared" si="3"/>
        <v>0</v>
      </c>
      <c r="K19" s="116">
        <f t="shared" si="3"/>
        <v>0</v>
      </c>
      <c r="L19" s="116">
        <f t="shared" si="3"/>
        <v>0</v>
      </c>
      <c r="M19" s="116">
        <f t="shared" si="3"/>
        <v>0</v>
      </c>
    </row>
    <row r="20" spans="1:13" ht="12.75">
      <c r="A20" s="120" t="s">
        <v>128</v>
      </c>
      <c r="B20" s="134">
        <v>25</v>
      </c>
      <c r="C20" s="134">
        <v>15</v>
      </c>
      <c r="D20" s="134">
        <v>15</v>
      </c>
      <c r="E20" s="134">
        <v>25</v>
      </c>
      <c r="F20" s="134">
        <v>20</v>
      </c>
      <c r="G20" s="134">
        <v>25</v>
      </c>
      <c r="H20" s="134"/>
      <c r="I20" s="134"/>
      <c r="J20" s="134"/>
      <c r="K20" s="134"/>
      <c r="L20" s="134"/>
      <c r="M20" s="134"/>
    </row>
    <row r="21" spans="1:13" s="87" customFormat="1" ht="12.75">
      <c r="A21" s="97" t="s">
        <v>129</v>
      </c>
      <c r="B21" s="116">
        <v>0</v>
      </c>
      <c r="C21" s="116">
        <f aca="true" t="shared" si="4" ref="C21:L21">C20*6.926</f>
        <v>103.89</v>
      </c>
      <c r="D21" s="116">
        <f t="shared" si="4"/>
        <v>103.89</v>
      </c>
      <c r="E21" s="116">
        <f t="shared" si="4"/>
        <v>173.15</v>
      </c>
      <c r="F21" s="116">
        <f>F20*6.926</f>
        <v>138.52</v>
      </c>
      <c r="G21" s="116">
        <f t="shared" si="4"/>
        <v>173.15</v>
      </c>
      <c r="H21" s="116">
        <f t="shared" si="4"/>
        <v>0</v>
      </c>
      <c r="I21" s="116">
        <f t="shared" si="4"/>
        <v>0</v>
      </c>
      <c r="J21" s="116">
        <f t="shared" si="4"/>
        <v>0</v>
      </c>
      <c r="K21" s="116">
        <f t="shared" si="4"/>
        <v>0</v>
      </c>
      <c r="L21" s="116">
        <f t="shared" si="4"/>
        <v>0</v>
      </c>
      <c r="M21" s="116">
        <f>M20*6.926</f>
        <v>0</v>
      </c>
    </row>
    <row r="22" spans="1:19" ht="12.75">
      <c r="A22" s="120" t="s">
        <v>167</v>
      </c>
      <c r="B22" s="134">
        <v>671.5</v>
      </c>
      <c r="C22" s="134">
        <v>794.5</v>
      </c>
      <c r="D22" s="134">
        <v>693</v>
      </c>
      <c r="E22" s="134">
        <v>723.5</v>
      </c>
      <c r="F22" s="134">
        <v>1197</v>
      </c>
      <c r="G22" s="134">
        <v>967</v>
      </c>
      <c r="H22" s="134">
        <v>598.5</v>
      </c>
      <c r="I22" s="134"/>
      <c r="J22" s="134"/>
      <c r="K22" s="134"/>
      <c r="L22" s="134"/>
      <c r="M22" s="134"/>
      <c r="N22" s="247"/>
      <c r="O22" s="248">
        <f>N22/8.34</f>
        <v>0</v>
      </c>
      <c r="P22" s="118">
        <f>O22*3/12</f>
        <v>0</v>
      </c>
      <c r="Q22" s="249">
        <f>P22/92</f>
        <v>0</v>
      </c>
      <c r="S22" s="248"/>
    </row>
    <row r="23" spans="1:17" ht="12.75">
      <c r="A23" s="120" t="s">
        <v>173</v>
      </c>
      <c r="B23" s="123">
        <v>1500</v>
      </c>
      <c r="C23" s="123">
        <v>2000</v>
      </c>
      <c r="D23" s="123">
        <v>3105</v>
      </c>
      <c r="E23" s="123">
        <v>3000</v>
      </c>
      <c r="F23" s="123">
        <v>2500</v>
      </c>
      <c r="G23" s="123">
        <v>2200</v>
      </c>
      <c r="H23" s="123">
        <v>3500</v>
      </c>
      <c r="I23" s="134"/>
      <c r="J23" s="134"/>
      <c r="K23" s="134"/>
      <c r="L23" s="134"/>
      <c r="M23" s="134"/>
      <c r="N23" s="247"/>
      <c r="O23" s="248"/>
      <c r="Q23" s="249"/>
    </row>
    <row r="24" spans="1:17" s="87" customFormat="1" ht="12.75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O24" s="151"/>
      <c r="Q24" s="152"/>
    </row>
    <row r="25" s="87" customFormat="1" ht="13.5" thickBot="1"/>
    <row r="26" spans="1:13" s="87" customFormat="1" ht="12.75">
      <c r="A26" s="345" t="s">
        <v>249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7"/>
    </row>
    <row r="27" spans="1:13" s="87" customFormat="1" ht="15.75" customHeight="1" thickBot="1">
      <c r="A27" s="348"/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50"/>
    </row>
    <row r="28" spans="1:13" s="87" customFormat="1" ht="13.5" customHeight="1">
      <c r="A28" s="127"/>
      <c r="B28" s="352" t="s">
        <v>64</v>
      </c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</row>
    <row r="29" spans="1:13" s="87" customFormat="1" ht="15.75">
      <c r="A29" s="128"/>
      <c r="B29" s="129" t="str">
        <f>B13</f>
        <v>JAN</v>
      </c>
      <c r="C29" s="129" t="str">
        <f aca="true" t="shared" si="5" ref="C29:M29">C13</f>
        <v>FEB</v>
      </c>
      <c r="D29" s="129" t="str">
        <f t="shared" si="5"/>
        <v>MAR</v>
      </c>
      <c r="E29" s="129" t="str">
        <f t="shared" si="5"/>
        <v>APR</v>
      </c>
      <c r="F29" s="129" t="str">
        <f t="shared" si="5"/>
        <v>MAY</v>
      </c>
      <c r="G29" s="129" t="str">
        <f t="shared" si="5"/>
        <v>JUN</v>
      </c>
      <c r="H29" s="129" t="str">
        <f t="shared" si="5"/>
        <v>JUL</v>
      </c>
      <c r="I29" s="129" t="str">
        <f t="shared" si="5"/>
        <v>AUG</v>
      </c>
      <c r="J29" s="129" t="str">
        <f t="shared" si="5"/>
        <v>SEP</v>
      </c>
      <c r="K29" s="129" t="str">
        <f t="shared" si="5"/>
        <v>OCT</v>
      </c>
      <c r="L29" s="129" t="str">
        <f t="shared" si="5"/>
        <v>NOV</v>
      </c>
      <c r="M29" s="129" t="str">
        <f t="shared" si="5"/>
        <v>DEC</v>
      </c>
    </row>
    <row r="30" spans="1:14" s="87" customFormat="1" ht="12.75">
      <c r="A30" s="97" t="s">
        <v>115</v>
      </c>
      <c r="B30" s="121">
        <f>2.17*B14/2000</f>
        <v>0.016274999999999998</v>
      </c>
      <c r="C30" s="121">
        <f aca="true" t="shared" si="6" ref="C30:I30">C14*2.17/2000</f>
        <v>0.01085</v>
      </c>
      <c r="D30" s="121">
        <f t="shared" si="6"/>
        <v>0.01302</v>
      </c>
      <c r="E30" s="121">
        <f t="shared" si="6"/>
        <v>0.0217</v>
      </c>
      <c r="F30" s="121">
        <f t="shared" si="6"/>
        <v>0.016274999999999998</v>
      </c>
      <c r="G30" s="121">
        <f t="shared" si="6"/>
        <v>0.016274999999999998</v>
      </c>
      <c r="H30" s="121">
        <f t="shared" si="6"/>
        <v>0.01085</v>
      </c>
      <c r="I30" s="121">
        <f t="shared" si="6"/>
        <v>0</v>
      </c>
      <c r="J30" s="121">
        <f>J14*2.17/2000</f>
        <v>0</v>
      </c>
      <c r="K30" s="121">
        <f>K14*2.17/2000</f>
        <v>0</v>
      </c>
      <c r="L30" s="121">
        <f>L14*2.17/2000</f>
        <v>0</v>
      </c>
      <c r="M30" s="121">
        <f>M14*2.17/2000</f>
        <v>0</v>
      </c>
      <c r="N30" s="204"/>
    </row>
    <row r="31" spans="1:14" ht="12.75">
      <c r="A31" s="118" t="s">
        <v>213</v>
      </c>
      <c r="B31" s="329">
        <f>B16*4.86/2000</f>
        <v>0</v>
      </c>
      <c r="C31" s="282">
        <f aca="true" t="shared" si="7" ref="C31:M31">C16*4.86/2000</f>
        <v>0</v>
      </c>
      <c r="D31" s="282">
        <f t="shared" si="7"/>
        <v>0</v>
      </c>
      <c r="E31" s="282">
        <f t="shared" si="7"/>
        <v>0</v>
      </c>
      <c r="F31" s="282">
        <f t="shared" si="7"/>
        <v>0</v>
      </c>
      <c r="G31" s="282">
        <f t="shared" si="7"/>
        <v>0</v>
      </c>
      <c r="H31" s="282">
        <f t="shared" si="7"/>
        <v>0</v>
      </c>
      <c r="I31" s="282">
        <f t="shared" si="7"/>
        <v>0</v>
      </c>
      <c r="J31" s="282">
        <f t="shared" si="7"/>
        <v>0</v>
      </c>
      <c r="K31" s="282">
        <f t="shared" si="7"/>
        <v>0</v>
      </c>
      <c r="L31" s="282">
        <f t="shared" si="7"/>
        <v>0</v>
      </c>
      <c r="M31" s="282">
        <f t="shared" si="7"/>
        <v>0</v>
      </c>
      <c r="N31" s="204"/>
    </row>
    <row r="32" spans="1:14" s="87" customFormat="1" ht="12.75">
      <c r="A32" s="97" t="s">
        <v>116</v>
      </c>
      <c r="B32" s="121">
        <f>B18*6.51/2000</f>
        <v>0.081375</v>
      </c>
      <c r="C32" s="121">
        <f>C18*6.51/2000</f>
        <v>0.04882499999999999</v>
      </c>
      <c r="D32" s="121">
        <f>D18*6.51/2000</f>
        <v>0.04882499999999999</v>
      </c>
      <c r="E32" s="121">
        <f>E18*6.51/2000</f>
        <v>0.081375</v>
      </c>
      <c r="F32" s="121">
        <f>F18*6.51/2000</f>
        <v>0.06509999999999999</v>
      </c>
      <c r="G32" s="121">
        <f aca="true" t="shared" si="8" ref="G32:M32">6.51*G18/2000</f>
        <v>0.081375</v>
      </c>
      <c r="H32" s="121">
        <f t="shared" si="8"/>
        <v>0.04882499999999999</v>
      </c>
      <c r="I32" s="121">
        <f t="shared" si="8"/>
        <v>0</v>
      </c>
      <c r="J32" s="121">
        <f t="shared" si="8"/>
        <v>0</v>
      </c>
      <c r="K32" s="121">
        <f t="shared" si="8"/>
        <v>0</v>
      </c>
      <c r="L32" s="121">
        <f t="shared" si="8"/>
        <v>0</v>
      </c>
      <c r="M32" s="121">
        <f t="shared" si="8"/>
        <v>0</v>
      </c>
      <c r="N32" s="204"/>
    </row>
    <row r="33" spans="1:18" s="87" customFormat="1" ht="12.75">
      <c r="A33" s="97" t="s">
        <v>127</v>
      </c>
      <c r="B33" s="121">
        <f aca="true" t="shared" si="9" ref="B33:M33">B20*$C$57/2000*0.5</f>
        <v>0.040625</v>
      </c>
      <c r="C33" s="121">
        <f t="shared" si="9"/>
        <v>0.024375</v>
      </c>
      <c r="D33" s="121">
        <f t="shared" si="9"/>
        <v>0.024375</v>
      </c>
      <c r="E33" s="121">
        <f t="shared" si="9"/>
        <v>0.040625</v>
      </c>
      <c r="F33" s="121">
        <f t="shared" si="9"/>
        <v>0.0325</v>
      </c>
      <c r="G33" s="121">
        <f t="shared" si="9"/>
        <v>0.040625</v>
      </c>
      <c r="H33" s="121">
        <f t="shared" si="9"/>
        <v>0</v>
      </c>
      <c r="I33" s="121">
        <f t="shared" si="9"/>
        <v>0</v>
      </c>
      <c r="J33" s="121">
        <f t="shared" si="9"/>
        <v>0</v>
      </c>
      <c r="K33" s="121">
        <f t="shared" si="9"/>
        <v>0</v>
      </c>
      <c r="L33" s="121">
        <f t="shared" si="9"/>
        <v>0</v>
      </c>
      <c r="M33" s="121">
        <f t="shared" si="9"/>
        <v>0</v>
      </c>
      <c r="N33" s="204"/>
      <c r="R33" s="204"/>
    </row>
    <row r="34" spans="1:14" s="87" customFormat="1" ht="12.75">
      <c r="A34" s="97" t="s">
        <v>101</v>
      </c>
      <c r="B34" s="121">
        <f>B22*0.31*0.05/2000</f>
        <v>0.005204125</v>
      </c>
      <c r="C34" s="121">
        <f aca="true" t="shared" si="10" ref="C34:M34">C22*0.31*0.05/2000</f>
        <v>0.006157375</v>
      </c>
      <c r="D34" s="121">
        <f t="shared" si="10"/>
        <v>0.005370750000000001</v>
      </c>
      <c r="E34" s="121">
        <f t="shared" si="10"/>
        <v>0.005607125</v>
      </c>
      <c r="F34" s="121">
        <f t="shared" si="10"/>
        <v>0.00927675</v>
      </c>
      <c r="G34" s="121">
        <f t="shared" si="10"/>
        <v>0.00749425</v>
      </c>
      <c r="H34" s="121">
        <f t="shared" si="10"/>
        <v>0.004638375</v>
      </c>
      <c r="I34" s="121">
        <f t="shared" si="10"/>
        <v>0</v>
      </c>
      <c r="J34" s="121">
        <f t="shared" si="10"/>
        <v>0</v>
      </c>
      <c r="K34" s="121">
        <f t="shared" si="10"/>
        <v>0</v>
      </c>
      <c r="L34" s="121">
        <f>L22*0.31*0.05/2000</f>
        <v>0</v>
      </c>
      <c r="M34" s="121">
        <f t="shared" si="10"/>
        <v>0</v>
      </c>
      <c r="N34" s="204"/>
    </row>
    <row r="35" spans="1:14" s="87" customFormat="1" ht="12.75">
      <c r="A35" s="97" t="s">
        <v>174</v>
      </c>
      <c r="B35" s="121">
        <f aca="true" t="shared" si="11" ref="B35:M35">B23*2.03/100/2000</f>
        <v>0.015224999999999997</v>
      </c>
      <c r="C35" s="121">
        <f t="shared" si="11"/>
        <v>0.0203</v>
      </c>
      <c r="D35" s="121">
        <f t="shared" si="11"/>
        <v>0.031515749999999995</v>
      </c>
      <c r="E35" s="121">
        <f t="shared" si="11"/>
        <v>0.030449999999999994</v>
      </c>
      <c r="F35" s="121">
        <f t="shared" si="11"/>
        <v>0.025374999999999995</v>
      </c>
      <c r="G35" s="121">
        <f t="shared" si="11"/>
        <v>0.02233</v>
      </c>
      <c r="H35" s="121">
        <f t="shared" si="11"/>
        <v>0.035525</v>
      </c>
      <c r="I35" s="121">
        <f t="shared" si="11"/>
        <v>0</v>
      </c>
      <c r="J35" s="121">
        <f t="shared" si="11"/>
        <v>0</v>
      </c>
      <c r="K35" s="121">
        <f t="shared" si="11"/>
        <v>0</v>
      </c>
      <c r="L35" s="121">
        <f t="shared" si="11"/>
        <v>0</v>
      </c>
      <c r="M35" s="121">
        <f t="shared" si="11"/>
        <v>0</v>
      </c>
      <c r="N35" s="204"/>
    </row>
    <row r="36" spans="1:14" s="126" customFormat="1" ht="12.75">
      <c r="A36" s="106" t="s">
        <v>117</v>
      </c>
      <c r="B36" s="130">
        <f aca="true" t="shared" si="12" ref="B36:M36">SUM(B30:B35)</f>
        <v>0.158704125</v>
      </c>
      <c r="C36" s="130">
        <f t="shared" si="12"/>
        <v>0.11050737499999998</v>
      </c>
      <c r="D36" s="130">
        <f t="shared" si="12"/>
        <v>0.1231065</v>
      </c>
      <c r="E36" s="130">
        <f t="shared" si="12"/>
        <v>0.179757125</v>
      </c>
      <c r="F36" s="130">
        <f t="shared" si="12"/>
        <v>0.14852674999999999</v>
      </c>
      <c r="G36" s="130">
        <f t="shared" si="12"/>
        <v>0.16809925</v>
      </c>
      <c r="H36" s="130">
        <f t="shared" si="12"/>
        <v>0.099838375</v>
      </c>
      <c r="I36" s="130">
        <f t="shared" si="12"/>
        <v>0</v>
      </c>
      <c r="J36" s="130">
        <f t="shared" si="12"/>
        <v>0</v>
      </c>
      <c r="K36" s="130">
        <f t="shared" si="12"/>
        <v>0</v>
      </c>
      <c r="L36" s="130">
        <f t="shared" si="12"/>
        <v>0</v>
      </c>
      <c r="M36" s="130">
        <f t="shared" si="12"/>
        <v>0</v>
      </c>
      <c r="N36" s="135"/>
    </row>
    <row r="37" s="87" customFormat="1" ht="12.75"/>
    <row r="38" spans="1:13" s="87" customFormat="1" ht="12.75">
      <c r="A38" s="353" t="s">
        <v>250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</row>
    <row r="39" spans="1:13" s="87" customFormat="1" ht="12.75">
      <c r="A39" s="353"/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</row>
    <row r="40" spans="1:13" s="87" customFormat="1" ht="12.7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</row>
    <row r="41" spans="1:13" s="87" customFormat="1" ht="12.75">
      <c r="A41" s="354" t="s">
        <v>133</v>
      </c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</row>
    <row r="42" spans="1:14" s="122" customFormat="1" ht="15.75">
      <c r="A42" s="128"/>
      <c r="B42" s="129" t="str">
        <f>B29</f>
        <v>JAN</v>
      </c>
      <c r="C42" s="129" t="str">
        <f aca="true" t="shared" si="13" ref="C42:M42">C29</f>
        <v>FEB</v>
      </c>
      <c r="D42" s="129" t="str">
        <f t="shared" si="13"/>
        <v>MAR</v>
      </c>
      <c r="E42" s="129" t="str">
        <f t="shared" si="13"/>
        <v>APR</v>
      </c>
      <c r="F42" s="129" t="str">
        <f t="shared" si="13"/>
        <v>MAY</v>
      </c>
      <c r="G42" s="129" t="str">
        <f t="shared" si="13"/>
        <v>JUN</v>
      </c>
      <c r="H42" s="129" t="str">
        <f t="shared" si="13"/>
        <v>JUL</v>
      </c>
      <c r="I42" s="129" t="str">
        <f t="shared" si="13"/>
        <v>AUG</v>
      </c>
      <c r="J42" s="129" t="str">
        <f t="shared" si="13"/>
        <v>SEP</v>
      </c>
      <c r="K42" s="129" t="str">
        <f t="shared" si="13"/>
        <v>OCT</v>
      </c>
      <c r="L42" s="129" t="str">
        <f t="shared" si="13"/>
        <v>NOV</v>
      </c>
      <c r="M42" s="129" t="str">
        <f t="shared" si="13"/>
        <v>DEC</v>
      </c>
      <c r="N42" s="122" t="s">
        <v>227</v>
      </c>
    </row>
    <row r="43" spans="1:14" s="122" customFormat="1" ht="12" customHeight="1">
      <c r="A43" s="94" t="s">
        <v>127</v>
      </c>
      <c r="B43" s="102">
        <f>B21*$E$57/2000</f>
        <v>0</v>
      </c>
      <c r="C43" s="102">
        <f aca="true" t="shared" si="14" ref="C43:M43">C21*$E$57/2000</f>
        <v>0.001298625</v>
      </c>
      <c r="D43" s="102">
        <f t="shared" si="14"/>
        <v>0.001298625</v>
      </c>
      <c r="E43" s="102">
        <f t="shared" si="14"/>
        <v>0.002164375</v>
      </c>
      <c r="F43" s="102">
        <f t="shared" si="14"/>
        <v>0.0017315000000000002</v>
      </c>
      <c r="G43" s="102">
        <f t="shared" si="14"/>
        <v>0.002164375</v>
      </c>
      <c r="H43" s="102">
        <f>H21*$E$57/2000</f>
        <v>0</v>
      </c>
      <c r="I43" s="102">
        <f t="shared" si="14"/>
        <v>0</v>
      </c>
      <c r="J43" s="102">
        <f t="shared" si="14"/>
        <v>0</v>
      </c>
      <c r="K43" s="102">
        <f t="shared" si="14"/>
        <v>0</v>
      </c>
      <c r="L43" s="102">
        <f t="shared" si="14"/>
        <v>0</v>
      </c>
      <c r="M43" s="102">
        <f t="shared" si="14"/>
        <v>0</v>
      </c>
      <c r="N43" s="148">
        <f>SUM(B43:M43)</f>
        <v>0.0086575</v>
      </c>
    </row>
    <row r="44" spans="1:14" s="87" customFormat="1" ht="12.7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122"/>
    </row>
    <row r="45" spans="1:14" s="87" customFormat="1" ht="12.75">
      <c r="A45" s="355" t="s">
        <v>194</v>
      </c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122"/>
    </row>
    <row r="46" spans="1:14" s="87" customFormat="1" ht="12.75">
      <c r="A46" s="115"/>
      <c r="B46" s="142" t="str">
        <f>B42</f>
        <v>JAN</v>
      </c>
      <c r="C46" s="142" t="str">
        <f aca="true" t="shared" si="15" ref="C46:M46">C42</f>
        <v>FEB</v>
      </c>
      <c r="D46" s="142" t="str">
        <f t="shared" si="15"/>
        <v>MAR</v>
      </c>
      <c r="E46" s="142" t="str">
        <f t="shared" si="15"/>
        <v>APR</v>
      </c>
      <c r="F46" s="142" t="str">
        <f t="shared" si="15"/>
        <v>MAY</v>
      </c>
      <c r="G46" s="142" t="str">
        <f t="shared" si="15"/>
        <v>JUN</v>
      </c>
      <c r="H46" s="142" t="str">
        <f t="shared" si="15"/>
        <v>JUL</v>
      </c>
      <c r="I46" s="142" t="str">
        <f t="shared" si="15"/>
        <v>AUG</v>
      </c>
      <c r="J46" s="142" t="str">
        <f t="shared" si="15"/>
        <v>SEP</v>
      </c>
      <c r="K46" s="142" t="str">
        <f t="shared" si="15"/>
        <v>OCT</v>
      </c>
      <c r="L46" s="142" t="str">
        <f t="shared" si="15"/>
        <v>NOV</v>
      </c>
      <c r="M46" s="142" t="str">
        <f t="shared" si="15"/>
        <v>DEC</v>
      </c>
      <c r="N46" s="122" t="s">
        <v>227</v>
      </c>
    </row>
    <row r="47" spans="1:14" s="87" customFormat="1" ht="12.75">
      <c r="A47" s="93" t="s">
        <v>174</v>
      </c>
      <c r="B47" s="94">
        <f>B23*0.05*0.4/100/2000</f>
        <v>0.00015</v>
      </c>
      <c r="C47" s="94">
        <f aca="true" t="shared" si="16" ref="C47:M47">C23*0.05*0.4/100/2000</f>
        <v>0.0002</v>
      </c>
      <c r="D47" s="94">
        <f t="shared" si="16"/>
        <v>0.0003105</v>
      </c>
      <c r="E47" s="94">
        <f t="shared" si="16"/>
        <v>0.0003</v>
      </c>
      <c r="F47" s="94">
        <f t="shared" si="16"/>
        <v>0.00025</v>
      </c>
      <c r="G47" s="94">
        <f t="shared" si="16"/>
        <v>0.00022</v>
      </c>
      <c r="H47" s="94">
        <f t="shared" si="16"/>
        <v>0.00035</v>
      </c>
      <c r="I47" s="94">
        <f t="shared" si="16"/>
        <v>0</v>
      </c>
      <c r="J47" s="94">
        <f t="shared" si="16"/>
        <v>0</v>
      </c>
      <c r="K47" s="94">
        <f t="shared" si="16"/>
        <v>0</v>
      </c>
      <c r="L47" s="94">
        <f t="shared" si="16"/>
        <v>0</v>
      </c>
      <c r="M47" s="94">
        <f t="shared" si="16"/>
        <v>0</v>
      </c>
      <c r="N47" s="148">
        <f>SUM(B47:M47)</f>
        <v>0.0017805</v>
      </c>
    </row>
    <row r="48" spans="1:14" s="87" customFormat="1" ht="12.75">
      <c r="A48" s="86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48"/>
    </row>
    <row r="49" spans="1:13" s="87" customFormat="1" ht="12.75">
      <c r="A49" s="136" t="s">
        <v>234</v>
      </c>
      <c r="B49" s="290">
        <f>B43+B47</f>
        <v>0.00015</v>
      </c>
      <c r="C49" s="290">
        <f aca="true" t="shared" si="17" ref="C49:M49">C43+C47</f>
        <v>0.0014986250000000002</v>
      </c>
      <c r="D49" s="290">
        <f t="shared" si="17"/>
        <v>0.001609125</v>
      </c>
      <c r="E49" s="290">
        <f t="shared" si="17"/>
        <v>0.002464375</v>
      </c>
      <c r="F49" s="290">
        <f t="shared" si="17"/>
        <v>0.0019815</v>
      </c>
      <c r="G49" s="290">
        <f t="shared" si="17"/>
        <v>0.002384375</v>
      </c>
      <c r="H49" s="290">
        <f t="shared" si="17"/>
        <v>0.00035</v>
      </c>
      <c r="I49" s="290">
        <f t="shared" si="17"/>
        <v>0</v>
      </c>
      <c r="J49" s="290">
        <f t="shared" si="17"/>
        <v>0</v>
      </c>
      <c r="K49" s="290">
        <f t="shared" si="17"/>
        <v>0</v>
      </c>
      <c r="L49" s="290">
        <f t="shared" si="17"/>
        <v>0</v>
      </c>
      <c r="M49" s="290">
        <f t="shared" si="17"/>
        <v>0</v>
      </c>
    </row>
    <row r="50" s="87" customFormat="1" ht="12.75"/>
    <row r="51" spans="1:13" s="87" customFormat="1" ht="15.75">
      <c r="A51" s="351" t="s">
        <v>103</v>
      </c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</row>
    <row r="52" spans="1:5" s="156" customFormat="1" ht="39" customHeight="1">
      <c r="A52" s="155"/>
      <c r="B52" s="89" t="s">
        <v>107</v>
      </c>
      <c r="C52" s="89" t="s">
        <v>104</v>
      </c>
      <c r="D52" s="89" t="s">
        <v>105</v>
      </c>
      <c r="E52" s="89" t="s">
        <v>106</v>
      </c>
    </row>
    <row r="53" spans="1:5" s="87" customFormat="1" ht="12.75">
      <c r="A53" s="97" t="str">
        <f>A30</f>
        <v>3451 U Fountain Solution</v>
      </c>
      <c r="B53" s="138">
        <f>1.07*2.2*10^-3/(2.64*10^-4)</f>
        <v>8.916666666666668</v>
      </c>
      <c r="C53" s="138">
        <v>2.17</v>
      </c>
      <c r="D53" s="157" t="s">
        <v>53</v>
      </c>
      <c r="E53" s="138">
        <v>0</v>
      </c>
    </row>
    <row r="54" spans="1:5" s="87" customFormat="1" ht="12.75">
      <c r="A54" s="97" t="s">
        <v>214</v>
      </c>
      <c r="B54" s="138">
        <v>8.67</v>
      </c>
      <c r="C54" s="157">
        <f>B54*D54</f>
        <v>4.855200000000001</v>
      </c>
      <c r="D54" s="281">
        <v>0.56</v>
      </c>
      <c r="E54" s="157" t="s">
        <v>53</v>
      </c>
    </row>
    <row r="55" spans="1:5" s="87" customFormat="1" ht="12.75">
      <c r="A55" s="97" t="s">
        <v>131</v>
      </c>
      <c r="B55" s="138">
        <f>0.96*2.2*10^-3/(2.64*10^-4)</f>
        <v>8</v>
      </c>
      <c r="C55" s="138">
        <v>6.51</v>
      </c>
      <c r="D55" s="138" t="str">
        <f>D53</f>
        <v>---</v>
      </c>
      <c r="E55" s="138">
        <v>0</v>
      </c>
    </row>
    <row r="56" spans="1:5" s="87" customFormat="1" ht="12.75">
      <c r="A56" s="97" t="s">
        <v>132</v>
      </c>
      <c r="B56" s="138">
        <v>8.34</v>
      </c>
      <c r="C56" s="157" t="s">
        <v>53</v>
      </c>
      <c r="D56" s="158">
        <v>0.31</v>
      </c>
      <c r="E56" s="138">
        <v>0</v>
      </c>
    </row>
    <row r="57" spans="1:5" s="87" customFormat="1" ht="12.75">
      <c r="A57" s="97" t="s">
        <v>127</v>
      </c>
      <c r="B57" s="94">
        <v>6.926</v>
      </c>
      <c r="C57" s="94">
        <v>6.5</v>
      </c>
      <c r="D57" s="95" t="str">
        <f>D55</f>
        <v>---</v>
      </c>
      <c r="E57" s="101">
        <v>0.025</v>
      </c>
    </row>
    <row r="58" s="87" customFormat="1" ht="12.75"/>
    <row r="59" s="87" customFormat="1" ht="12.75"/>
    <row r="60" s="87" customFormat="1" ht="12.75"/>
    <row r="61" s="87" customFormat="1" ht="12.75"/>
    <row r="62" s="87" customFormat="1" ht="12.75"/>
    <row r="63" s="87" customFormat="1" ht="12.75"/>
    <row r="64" s="87" customFormat="1" ht="12.75"/>
    <row r="65" s="87" customFormat="1" ht="12.75"/>
    <row r="66" s="87" customFormat="1" ht="12.75"/>
    <row r="67" s="87" customFormat="1" ht="12.75"/>
    <row r="68" s="87" customFormat="1" ht="12.75"/>
    <row r="69" s="87" customFormat="1" ht="12.75"/>
    <row r="70" s="87" customFormat="1" ht="12.75"/>
    <row r="71" s="87" customFormat="1" ht="12.75"/>
    <row r="72" s="87" customFormat="1" ht="12.75"/>
    <row r="73" s="87" customFormat="1" ht="12.75"/>
    <row r="74" s="87" customFormat="1" ht="12.75"/>
    <row r="75" s="87" customFormat="1" ht="12.75"/>
    <row r="76" s="87" customFormat="1" ht="12.75"/>
    <row r="77" s="87" customFormat="1" ht="12.75"/>
    <row r="78" s="87" customFormat="1" ht="12.75"/>
    <row r="79" s="87" customFormat="1" ht="12.75"/>
    <row r="80" s="87" customFormat="1" ht="12.75"/>
    <row r="81" s="87" customFormat="1" ht="12.75"/>
    <row r="82" s="87" customFormat="1" ht="12.75"/>
    <row r="83" s="87" customFormat="1" ht="12.75"/>
    <row r="84" s="87" customFormat="1" ht="12.75"/>
    <row r="85" s="87" customFormat="1" ht="12.75"/>
    <row r="86" s="87" customFormat="1" ht="12.75"/>
  </sheetData>
  <sheetProtection selectLockedCells="1"/>
  <mergeCells count="9">
    <mergeCell ref="A1:M2"/>
    <mergeCell ref="A10:M11"/>
    <mergeCell ref="A4:M5"/>
    <mergeCell ref="A51:M51"/>
    <mergeCell ref="A26:M27"/>
    <mergeCell ref="B28:M28"/>
    <mergeCell ref="A38:M39"/>
    <mergeCell ref="A41:M41"/>
    <mergeCell ref="A45:M45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56" r:id="rId3"/>
  <rowBreaks count="1" manualBreakCount="1">
    <brk id="24" max="255" man="1"/>
  </rowBreaks>
  <ignoredErrors>
    <ignoredError sqref="B31:D31 E31:M31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15" zoomScaleSheetLayoutView="115" zoomScalePageLayoutView="0" workbookViewId="0" topLeftCell="A1">
      <selection activeCell="A4" sqref="A4"/>
    </sheetView>
  </sheetViews>
  <sheetFormatPr defaultColWidth="9.140625" defaultRowHeight="12.75"/>
  <cols>
    <col min="1" max="1" width="10.140625" style="87" customWidth="1"/>
    <col min="2" max="2" width="15.57421875" style="87" customWidth="1"/>
    <col min="3" max="3" width="28.00390625" style="87" customWidth="1"/>
    <col min="4" max="4" width="0.13671875" style="87" customWidth="1"/>
    <col min="5" max="9" width="9.140625" style="87" hidden="1" customWidth="1"/>
    <col min="10" max="16384" width="9.140625" style="87" customWidth="1"/>
  </cols>
  <sheetData>
    <row r="1" spans="1:9" ht="12.75">
      <c r="A1" s="356" t="s">
        <v>192</v>
      </c>
      <c r="B1" s="357"/>
      <c r="C1" s="357"/>
      <c r="D1" s="357"/>
      <c r="E1" s="357"/>
      <c r="F1" s="357"/>
      <c r="G1" s="357"/>
      <c r="H1" s="357"/>
      <c r="I1" s="358"/>
    </row>
    <row r="2" spans="1:9" ht="12.75">
      <c r="A2" s="359" t="s">
        <v>245</v>
      </c>
      <c r="B2" s="360"/>
      <c r="C2" s="360"/>
      <c r="D2" s="360"/>
      <c r="E2" s="360"/>
      <c r="F2" s="360"/>
      <c r="G2" s="360"/>
      <c r="H2" s="360"/>
      <c r="I2" s="361"/>
    </row>
    <row r="3" spans="1:9" ht="13.5" thickBot="1">
      <c r="A3" s="363" t="s">
        <v>252</v>
      </c>
      <c r="B3" s="364"/>
      <c r="C3" s="364"/>
      <c r="D3" s="364"/>
      <c r="E3" s="364"/>
      <c r="F3" s="364"/>
      <c r="G3" s="364"/>
      <c r="H3" s="364"/>
      <c r="I3" s="365"/>
    </row>
    <row r="5" spans="1:3" ht="12.75">
      <c r="A5" s="362" t="s">
        <v>65</v>
      </c>
      <c r="B5" s="362" t="s">
        <v>66</v>
      </c>
      <c r="C5" s="362" t="s">
        <v>67</v>
      </c>
    </row>
    <row r="6" spans="1:3" ht="12.75">
      <c r="A6" s="352"/>
      <c r="B6" s="352"/>
      <c r="C6" s="352"/>
    </row>
    <row r="7" spans="1:3" ht="12.75">
      <c r="A7" s="106" t="s">
        <v>25</v>
      </c>
      <c r="B7" s="163">
        <f>'2013 VOC-HAP TRACKING '!F8+'2013 VOC-HAP TRACKING '!C27+'INPUT 4 - SHEETFED USAGE &amp; EMIS'!B36</f>
        <v>1.512062898123206</v>
      </c>
      <c r="C7" s="164">
        <f>'2013 VOC-HAP TRACKING '!D27+'INPUT 4 - SHEETFED USAGE &amp; EMIS'!B43+'INPUT 4 - SHEETFED USAGE &amp; EMIS'!B47</f>
        <v>0.1420251125</v>
      </c>
    </row>
    <row r="8" spans="1:3" ht="12.75">
      <c r="A8" s="106" t="s">
        <v>26</v>
      </c>
      <c r="B8" s="163">
        <f>'2013 VOC-HAP TRACKING '!C28+'2013 VOC-HAP TRACKING '!F9+'INPUT 4 - SHEETFED USAGE &amp; EMIS'!C36</f>
        <v>1.334166624460995</v>
      </c>
      <c r="C8" s="164">
        <f>'2013 VOC-HAP TRACKING '!D28+'INPUT 4 - SHEETFED USAGE &amp; EMIS'!C43+'INPUT 4 - SHEETFED USAGE &amp; EMIS'!C47</f>
        <v>0.186821675</v>
      </c>
    </row>
    <row r="9" spans="1:5" ht="12.75">
      <c r="A9" s="106" t="s">
        <v>27</v>
      </c>
      <c r="B9" s="163">
        <f>'2013 VOC-HAP TRACKING '!F10+'2013 VOC-HAP TRACKING '!C29+'INPUT 4 - SHEETFED USAGE &amp; EMIS'!D36</f>
        <v>1.5067965432651005</v>
      </c>
      <c r="C9" s="164">
        <f>'2013 VOC-HAP TRACKING '!D29+'INPUT 4 - SHEETFED USAGE &amp; EMIS'!D43+'INPUT 4 - SHEETFED USAGE &amp; EMIS'!D47</f>
        <v>0.13930520000000002</v>
      </c>
      <c r="E9" s="126"/>
    </row>
    <row r="10" spans="1:3" ht="12.75">
      <c r="A10" s="106" t="s">
        <v>28</v>
      </c>
      <c r="B10" s="163">
        <f>'2013 VOC-HAP TRACKING '!C30+'2013 VOC-HAP TRACKING '!F11+'INPUT 4 - SHEETFED USAGE &amp; EMIS'!E36</f>
        <v>1.5250152990121963</v>
      </c>
      <c r="C10" s="164">
        <f>'2013 VOC-HAP TRACKING '!D30+'INPUT 4 - SHEETFED USAGE &amp; EMIS'!E43+'INPUT 4 - SHEETFED USAGE &amp; EMIS'!E47</f>
        <v>0.18547591249999998</v>
      </c>
    </row>
    <row r="11" spans="1:3" ht="12.75">
      <c r="A11" s="106" t="s">
        <v>29</v>
      </c>
      <c r="B11" s="163">
        <f>'2013 VOC-HAP TRACKING '!F12+'2013 VOC-HAP TRACKING '!C31+'INPUT 4 - SHEETFED USAGE &amp; EMIS'!F36</f>
        <v>1.3345534959756267</v>
      </c>
      <c r="C11" s="164">
        <f>'2013 VOC-HAP TRACKING '!D31+'INPUT 4 - SHEETFED USAGE &amp; EMIS'!F43+'INPUT 4 - SHEETFED USAGE &amp; EMIS'!F47</f>
        <v>0.10371706249999998</v>
      </c>
    </row>
    <row r="12" spans="1:3" ht="12.75">
      <c r="A12" s="106" t="s">
        <v>30</v>
      </c>
      <c r="B12" s="163">
        <f>'2013 VOC-HAP TRACKING '!F13+'2013 VOC-HAP TRACKING '!C32+'INPUT 4 - SHEETFED USAGE &amp; EMIS'!G36</f>
        <v>1.216443370112311</v>
      </c>
      <c r="C12" s="164">
        <f>'2013 VOC-HAP TRACKING '!D32+'INPUT 4 - SHEETFED USAGE &amp; EMIS'!G43+'INPUT 4 - SHEETFED USAGE &amp; EMIS'!G47</f>
        <v>0.10411993749999998</v>
      </c>
    </row>
    <row r="13" spans="1:3" ht="12.75">
      <c r="A13" s="106" t="s">
        <v>31</v>
      </c>
      <c r="B13" s="163">
        <f>'2013 VOC-HAP TRACKING '!F14+'2013 VOC-HAP TRACKING '!C33+'INPUT 4 - SHEETFED USAGE &amp; EMIS'!H36</f>
        <v>1.0957173846563377</v>
      </c>
      <c r="C13" s="164">
        <f>'2013 VOC-HAP TRACKING '!D33+'INPUT 4 - SHEETFED USAGE &amp; EMIS'!H43+'INPUT 4 - SHEETFED USAGE &amp; EMIS'!H47</f>
        <v>0.1537374375</v>
      </c>
    </row>
    <row r="14" spans="1:3" ht="12.75">
      <c r="A14" s="106" t="s">
        <v>32</v>
      </c>
      <c r="B14" s="163">
        <f>'2013 VOC-HAP TRACKING '!F15+'2013 VOC-HAP TRACKING '!C34+'INPUT 4 - SHEETFED USAGE &amp; EMIS'!I36</f>
        <v>0</v>
      </c>
      <c r="C14" s="164">
        <f>'2013 VOC-HAP TRACKING '!D34+'INPUT 4 - SHEETFED USAGE &amp; EMIS'!I43+'INPUT 4 - SHEETFED USAGE &amp; EMIS'!I47</f>
        <v>0</v>
      </c>
    </row>
    <row r="15" spans="1:3" ht="12.75">
      <c r="A15" s="106" t="s">
        <v>33</v>
      </c>
      <c r="B15" s="163">
        <f>'2013 VOC-HAP TRACKING '!F16+'2013 VOC-HAP TRACKING '!C35+'INPUT 4 - SHEETFED USAGE &amp; EMIS'!J36</f>
        <v>0</v>
      </c>
      <c r="C15" s="164">
        <f>'2013 VOC-HAP TRACKING '!D35+'INPUT 4 - SHEETFED USAGE &amp; EMIS'!J43+'INPUT 4 - SHEETFED USAGE &amp; EMIS'!J47</f>
        <v>0</v>
      </c>
    </row>
    <row r="16" spans="1:3" ht="12.75">
      <c r="A16" s="106" t="s">
        <v>34</v>
      </c>
      <c r="B16" s="163">
        <f>'2013 VOC-HAP TRACKING '!F17+'2013 VOC-HAP TRACKING '!C36+'INPUT 4 - SHEETFED USAGE &amp; EMIS'!K36</f>
        <v>0</v>
      </c>
      <c r="C16" s="164">
        <f>'2013 VOC-HAP TRACKING '!D36+'INPUT 4 - SHEETFED USAGE &amp; EMIS'!K43+'INPUT 4 - SHEETFED USAGE &amp; EMIS'!K47</f>
        <v>0</v>
      </c>
    </row>
    <row r="17" spans="1:3" ht="12.75">
      <c r="A17" s="106" t="s">
        <v>35</v>
      </c>
      <c r="B17" s="163">
        <f>'2013 VOC-HAP TRACKING '!F18+'2013 VOC-HAP TRACKING '!C37+'INPUT 4 - SHEETFED USAGE &amp; EMIS'!L36</f>
        <v>0</v>
      </c>
      <c r="C17" s="164">
        <f>'2013 VOC-HAP TRACKING '!D37+'INPUT 4 - SHEETFED USAGE &amp; EMIS'!L43+'INPUT 4 - SHEETFED USAGE &amp; EMIS'!L47</f>
        <v>0</v>
      </c>
    </row>
    <row r="18" spans="1:3" ht="12.75">
      <c r="A18" s="106" t="s">
        <v>36</v>
      </c>
      <c r="B18" s="163">
        <f>'2013 VOC-HAP TRACKING '!F19+'2013 VOC-HAP TRACKING '!C38+'INPUT 4 - SHEETFED USAGE &amp; EMIS'!M36</f>
        <v>0</v>
      </c>
      <c r="C18" s="164">
        <f>'2013 VOC-HAP TRACKING '!D38+'INPUT 4 - SHEETFED USAGE &amp; EMIS'!M43+'INPUT 4 - SHEETFED USAGE &amp; EMIS'!M47</f>
        <v>0</v>
      </c>
    </row>
    <row r="19" spans="1:3" ht="12.75">
      <c r="A19" s="165" t="s">
        <v>68</v>
      </c>
      <c r="B19" s="189">
        <f>SUM(B7:B18)</f>
        <v>9.524755615605772</v>
      </c>
      <c r="C19" s="189">
        <f>SUM(C7:C18)</f>
        <v>1.0152023374999999</v>
      </c>
    </row>
  </sheetData>
  <sheetProtection selectLockedCells="1" selectUnlockedCells="1"/>
  <mergeCells count="6">
    <mergeCell ref="A1:I1"/>
    <mergeCell ref="A2:I2"/>
    <mergeCell ref="A5:A6"/>
    <mergeCell ref="B5:B6"/>
    <mergeCell ref="C5:C6"/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="85" zoomScaleSheetLayoutView="85" zoomScalePageLayoutView="0" workbookViewId="0" topLeftCell="A1">
      <selection activeCell="A3" sqref="A3:I3"/>
    </sheetView>
  </sheetViews>
  <sheetFormatPr defaultColWidth="9.140625" defaultRowHeight="12.75"/>
  <cols>
    <col min="1" max="1" width="17.28125" style="87" customWidth="1"/>
    <col min="2" max="2" width="22.421875" style="87" bestFit="1" customWidth="1"/>
    <col min="3" max="3" width="22.8515625" style="87" customWidth="1"/>
    <col min="4" max="4" width="16.28125" style="87" customWidth="1"/>
    <col min="5" max="5" width="9.140625" style="87" hidden="1" customWidth="1"/>
    <col min="6" max="6" width="0.85546875" style="87" hidden="1" customWidth="1"/>
    <col min="7" max="7" width="9.140625" style="87" customWidth="1"/>
    <col min="8" max="8" width="13.140625" style="87" customWidth="1"/>
    <col min="9" max="9" width="11.28125" style="87" customWidth="1"/>
    <col min="10" max="16384" width="9.140625" style="87" customWidth="1"/>
  </cols>
  <sheetData>
    <row r="1" spans="1:9" ht="12.75">
      <c r="A1" s="366" t="s">
        <v>192</v>
      </c>
      <c r="B1" s="366"/>
      <c r="C1" s="366"/>
      <c r="D1" s="366"/>
      <c r="E1" s="366"/>
      <c r="F1" s="366"/>
      <c r="G1" s="366"/>
      <c r="H1" s="366"/>
      <c r="I1" s="367"/>
    </row>
    <row r="2" spans="1:9" ht="12.75">
      <c r="A2" s="368" t="s">
        <v>254</v>
      </c>
      <c r="B2" s="360"/>
      <c r="C2" s="360"/>
      <c r="D2" s="360"/>
      <c r="E2" s="360"/>
      <c r="F2" s="360"/>
      <c r="G2" s="360"/>
      <c r="H2" s="360"/>
      <c r="I2" s="367"/>
    </row>
    <row r="3" spans="1:9" ht="12.75">
      <c r="A3" s="368" t="s">
        <v>255</v>
      </c>
      <c r="B3" s="368"/>
      <c r="C3" s="368"/>
      <c r="D3" s="368"/>
      <c r="E3" s="368"/>
      <c r="F3" s="368"/>
      <c r="G3" s="368"/>
      <c r="H3" s="368"/>
      <c r="I3" s="368"/>
    </row>
    <row r="4" spans="1:9" ht="13.5" thickBot="1">
      <c r="A4" s="369"/>
      <c r="B4" s="367"/>
      <c r="C4" s="367"/>
      <c r="D4" s="367"/>
      <c r="E4" s="367"/>
      <c r="F4" s="367"/>
      <c r="G4" s="367"/>
      <c r="H4" s="367"/>
      <c r="I4" s="367"/>
    </row>
    <row r="5" spans="1:10" ht="13.5" thickBot="1">
      <c r="A5" s="184" t="s">
        <v>188</v>
      </c>
      <c r="B5" s="180"/>
      <c r="C5" s="181"/>
      <c r="D5" s="181"/>
      <c r="E5" s="181"/>
      <c r="F5" s="181"/>
      <c r="G5" s="182" t="s">
        <v>175</v>
      </c>
      <c r="H5" s="185"/>
      <c r="I5" s="183">
        <f>'INPUT 2 - INK USAGE &amp; VOC 2013'!C32+'INPUT 4 - SHEETFED USAGE &amp; EMIS'!N22+'INPUT 4 - SHEETFED USAGE &amp; EMIS'!N23</f>
        <v>0</v>
      </c>
      <c r="J5"/>
    </row>
    <row r="6" spans="1:9" ht="13.5" thickBot="1">
      <c r="A6" s="376"/>
      <c r="B6" s="377"/>
      <c r="C6" s="377"/>
      <c r="D6" s="377"/>
      <c r="E6" s="377"/>
      <c r="F6" s="377"/>
      <c r="G6" s="377"/>
      <c r="H6" s="377"/>
      <c r="I6" s="378"/>
    </row>
    <row r="7" spans="1:9" ht="13.5" thickBot="1">
      <c r="A7" s="376" t="s">
        <v>189</v>
      </c>
      <c r="B7" s="377"/>
      <c r="C7" s="378"/>
      <c r="D7" s="159"/>
      <c r="E7" s="379"/>
      <c r="F7" s="380"/>
      <c r="G7" s="381" t="s">
        <v>71</v>
      </c>
      <c r="H7" s="382"/>
      <c r="I7" s="162">
        <f>'INPUT 1 - 2013 MATERIAL USAGE'!N8+'INPUT 1 - 2013 MATERIAL USAGE'!N9+'INPUT 4 - SHEETFED USAGE &amp; EMIS'!N20+'INPUT 1 - 2013 MATERIAL USAGE'!N11</f>
        <v>2030</v>
      </c>
    </row>
    <row r="8" spans="1:9" ht="13.5" thickBot="1">
      <c r="A8" s="160"/>
      <c r="B8" s="383"/>
      <c r="C8" s="384"/>
      <c r="D8" s="161"/>
      <c r="E8" s="376"/>
      <c r="F8" s="384"/>
      <c r="G8" s="381" t="s">
        <v>72</v>
      </c>
      <c r="H8" s="382"/>
      <c r="I8" s="162">
        <f>'INPUT 1 - 2013 MATERIAL USAGE'!N10+'INPUT 4 - SHEETFED USAGE &amp; EMIS'!N14+'INPUT 4 - SHEETFED USAGE &amp; EMIS'!N18+'INPUT 1 - 2013 MATERIAL USAGE'!N12</f>
        <v>2145</v>
      </c>
    </row>
    <row r="11" spans="1:4" ht="12.75">
      <c r="A11" s="373" t="s">
        <v>253</v>
      </c>
      <c r="B11" s="374"/>
      <c r="C11" s="374"/>
      <c r="D11" s="375"/>
    </row>
    <row r="12" spans="1:4" ht="12.75">
      <c r="A12" s="370" t="s">
        <v>255</v>
      </c>
      <c r="B12" s="371"/>
      <c r="C12" s="371"/>
      <c r="D12" s="372"/>
    </row>
    <row r="15" spans="1:4" ht="12.75">
      <c r="A15" s="115" t="s">
        <v>78</v>
      </c>
      <c r="B15" s="115" t="s">
        <v>176</v>
      </c>
      <c r="C15" s="115" t="s">
        <v>80</v>
      </c>
      <c r="D15" s="115" t="s">
        <v>134</v>
      </c>
    </row>
    <row r="16" spans="1:4" ht="12.75">
      <c r="A16" s="115"/>
      <c r="B16" s="115" t="s">
        <v>82</v>
      </c>
      <c r="C16" s="115" t="s">
        <v>83</v>
      </c>
      <c r="D16" s="115" t="str">
        <f>C16</f>
        <v>GAL</v>
      </c>
    </row>
    <row r="17" spans="1:4" ht="12.75">
      <c r="A17" s="94" t="s">
        <v>75</v>
      </c>
      <c r="B17" s="95">
        <f>'INPUT 2 - INK USAGE &amp; VOC 2013'!C9*('% PRODUCTION'!F5+'% PRODUCTION'!F6)+'INPUT 4 - SHEETFED USAGE &amp; EMIS'!B22+'INPUT 4 - SHEETFED USAGE &amp; EMIS'!B23</f>
        <v>39504.963854626854</v>
      </c>
      <c r="C17" s="116">
        <f>'INPUT 1 - 2013 MATERIAL USAGE'!B10+'INPUT 4 - SHEETFED USAGE &amp; EMIS'!B14+'INPUT 4 - SHEETFED USAGE &amp; EMIS'!B18</f>
        <v>480</v>
      </c>
      <c r="D17" s="116">
        <f>'INPUT 1 - 2013 MATERIAL USAGE'!B8+'INPUT 1 - 2013 MATERIAL USAGE'!B9+'INPUT 4 - SHEETFED USAGE &amp; EMIS'!B20</f>
        <v>300</v>
      </c>
    </row>
    <row r="18" spans="1:4" ht="12.75">
      <c r="A18" s="94" t="s">
        <v>26</v>
      </c>
      <c r="B18" s="95">
        <f>'INPUT 2 - INK USAGE &amp; VOC 2013'!C11*('% PRODUCTION'!F5+'% PRODUCTION'!F6)+'INPUT 4 - SHEETFED USAGE &amp; EMIS'!C22+'INPUT 4 - SHEETFED USAGE &amp; EMIS'!C23</f>
        <v>32985.747119208856</v>
      </c>
      <c r="C18" s="116">
        <f>'INPUT 1 - 2013 MATERIAL USAGE'!C10+'INPUT 4 - SHEETFED USAGE &amp; EMIS'!C14+'INPUT 4 - SHEETFED USAGE &amp; EMIS'!C18</f>
        <v>190</v>
      </c>
      <c r="D18" s="116">
        <f>'INPUT 1 - 2013 MATERIAL USAGE'!C8+'INPUT 1 - 2013 MATERIAL USAGE'!C9+'INPUT 4 - SHEETFED USAGE &amp; EMIS'!C20</f>
        <v>345</v>
      </c>
    </row>
    <row r="19" spans="1:4" ht="12.75">
      <c r="A19" s="94" t="s">
        <v>27</v>
      </c>
      <c r="B19" s="95">
        <f>'INPUT 2 - INK USAGE &amp; VOC 2013'!C13*('% PRODUCTION'!F5+'% PRODUCTION'!F6)+'INPUT 4 - SHEETFED USAGE &amp; EMIS'!D22+'INPUT 4 - SHEETFED USAGE &amp; EMIS'!D23</f>
        <v>46906.51329428207</v>
      </c>
      <c r="C19" s="116">
        <f>'INPUT 1 - 2013 MATERIAL USAGE'!D10+'INPUT 4 - SHEETFED USAGE &amp; EMIS'!D14+'INPUT 4 - SHEETFED USAGE &amp; EMIS'!D18</f>
        <v>412</v>
      </c>
      <c r="D19" s="116">
        <f>'INPUT 1 - 2013 MATERIAL USAGE'!D8+'INPUT 1 - 2013 MATERIAL USAGE'!D9+'INPUT 4 - SHEETFED USAGE &amp; EMIS'!D20</f>
        <v>235</v>
      </c>
    </row>
    <row r="20" spans="1:4" ht="12.75">
      <c r="A20" s="94" t="s">
        <v>28</v>
      </c>
      <c r="B20" s="95">
        <f>'INPUT 2 - INK USAGE &amp; VOC 2013'!C15*('% PRODUCTION'!F5+'% PRODUCTION'!F6)+'INPUT 4 - SHEETFED USAGE &amp; EMIS'!E22+'INPUT 4 - SHEETFED USAGE &amp; EMIS'!E23</f>
        <v>36683.40129141309</v>
      </c>
      <c r="C20" s="116">
        <f>'INPUT 1 - 2013 MATERIAL USAGE'!E10+'INPUT 4 - SHEETFED USAGE &amp; EMIS'!E14+'INPUT 4 - SHEETFED USAGE &amp; EMIS'!E18</f>
        <v>375</v>
      </c>
      <c r="D20" s="116">
        <f>'INPUT 1 - 2013 MATERIAL USAGE'!E8+'INPUT 1 - 2013 MATERIAL USAGE'!E9+'INPUT 4 - SHEETFED USAGE &amp; EMIS'!E20</f>
        <v>355</v>
      </c>
    </row>
    <row r="21" spans="1:4" ht="12.75">
      <c r="A21" s="94" t="s">
        <v>29</v>
      </c>
      <c r="B21" s="95">
        <f>'INPUT 2 - INK USAGE &amp; VOC 2013'!C17*('% PRODUCTION'!F5+'% PRODUCTION'!F6)+'INPUT 4 - SHEETFED USAGE &amp; EMIS'!F22+'INPUT 4 - SHEETFED USAGE &amp; EMIS'!F23</f>
        <v>34600.84641257312</v>
      </c>
      <c r="C21" s="116">
        <f>'INPUT 1 - 2013 MATERIAL USAGE'!F10+'INPUT 4 - SHEETFED USAGE &amp; EMIS'!F14+'INPUT 4 - SHEETFED USAGE &amp; EMIS'!F18</f>
        <v>310</v>
      </c>
      <c r="D21" s="116">
        <f>'INPUT 1 - 2013 MATERIAL USAGE'!F8+'INPUT 1 - 2013 MATERIAL USAGE'!F9+'INPUT 4 - SHEETFED USAGE &amp; EMIS'!F20</f>
        <v>295</v>
      </c>
    </row>
    <row r="22" spans="1:4" ht="12.75">
      <c r="A22" s="94" t="s">
        <v>30</v>
      </c>
      <c r="B22" s="95">
        <f>'INPUT 2 - INK USAGE &amp; VOC 2013'!C19*('% PRODUCTION'!F5+'% PRODUCTION'!F6)+'INPUT 4 - SHEETFED USAGE &amp; EMIS'!G22+'INPUT 4 - SHEETFED USAGE &amp; EMIS'!G23</f>
        <v>26717.09626169935</v>
      </c>
      <c r="C22" s="116">
        <f>'INPUT 1 - 2013 MATERIAL USAGE'!G10+'INPUT 4 - SHEETFED USAGE &amp; EMIS'!G14+'INPUT 4 - SHEETFED USAGE &amp; EMIS'!G18</f>
        <v>315</v>
      </c>
      <c r="D22" s="116">
        <f>'INPUT 1 - 2013 MATERIAL USAGE'!G8+'INPUT 1 - 2013 MATERIAL USAGE'!G9+'INPUT 4 - SHEETFED USAGE &amp; EMIS'!G20</f>
        <v>300</v>
      </c>
    </row>
    <row r="23" spans="1:4" ht="12.75">
      <c r="A23" s="94" t="s">
        <v>31</v>
      </c>
      <c r="B23" s="95">
        <f>'INPUT 2 - INK USAGE &amp; VOC 2013'!C21*('% PRODUCTION'!F5+'% PRODUCTION'!F6)+'INPUT 4 - SHEETFED USAGE &amp; EMIS'!H22+'INPUT 4 - SHEETFED USAGE &amp; EMIS'!H23</f>
        <v>29526.189321010268</v>
      </c>
      <c r="C23" s="116">
        <f>'INPUT 1 - 2013 MATERIAL USAGE'!H10+'INPUT 4 - SHEETFED USAGE &amp; EMIS'!H14+'INPUT 4 - SHEETFED USAGE &amp; EMIS'!H18</f>
        <v>300</v>
      </c>
      <c r="D23" s="116">
        <f>'INPUT 1 - 2013 MATERIAL USAGE'!H8+'INPUT 1 - 2013 MATERIAL USAGE'!H9+'INPUT 4 - SHEETFED USAGE &amp; EMIS'!H20</f>
        <v>220</v>
      </c>
    </row>
    <row r="24" spans="1:4" ht="12.75">
      <c r="A24" s="94" t="s">
        <v>32</v>
      </c>
      <c r="B24" s="95">
        <f>'INPUT 2 - INK USAGE &amp; VOC 2013'!C23*('% PRODUCTION'!F5+'% PRODUCTION'!F6)+'INPUT 4 - SHEETFED USAGE &amp; EMIS'!I22+'INPUT 4 - SHEETFED USAGE &amp; EMIS'!I23</f>
        <v>0</v>
      </c>
      <c r="C24" s="116">
        <f>'INPUT 1 - 2013 MATERIAL USAGE'!I10+'INPUT 4 - SHEETFED USAGE &amp; EMIS'!I14+'INPUT 4 - SHEETFED USAGE &amp; EMIS'!I18</f>
        <v>0</v>
      </c>
      <c r="D24" s="116">
        <f>'INPUT 1 - 2013 MATERIAL USAGE'!I8+'INPUT 1 - 2013 MATERIAL USAGE'!I9+'INPUT 4 - SHEETFED USAGE &amp; EMIS'!I20</f>
        <v>0</v>
      </c>
    </row>
    <row r="25" spans="1:4" ht="12.75">
      <c r="A25" s="94" t="s">
        <v>33</v>
      </c>
      <c r="B25" s="95">
        <f>'INPUT 2 - INK USAGE &amp; VOC 2013'!C25*('% PRODUCTION'!F5+'% PRODUCTION'!F6)+'INPUT 4 - SHEETFED USAGE &amp; EMIS'!J22+'INPUT 4 - SHEETFED USAGE &amp; EMIS'!J23</f>
        <v>0</v>
      </c>
      <c r="C25" s="116">
        <f>'INPUT 1 - 2013 MATERIAL USAGE'!J10+'INPUT 4 - SHEETFED USAGE &amp; EMIS'!J14+'INPUT 4 - SHEETFED USAGE &amp; EMIS'!J18</f>
        <v>0</v>
      </c>
      <c r="D25" s="116">
        <f>'INPUT 1 - 2013 MATERIAL USAGE'!J8+'INPUT 1 - 2013 MATERIAL USAGE'!J9+'INPUT 4 - SHEETFED USAGE &amp; EMIS'!J20</f>
        <v>0</v>
      </c>
    </row>
    <row r="26" spans="1:4" ht="12.75">
      <c r="A26" s="94" t="s">
        <v>34</v>
      </c>
      <c r="B26" s="95">
        <f>'INPUT 2 - INK USAGE &amp; VOC 2013'!C27*('% PRODUCTION'!F5+'% PRODUCTION'!F6)+'INPUT 4 - SHEETFED USAGE &amp; EMIS'!K22+'INPUT 4 - SHEETFED USAGE &amp; EMIS'!K23</f>
        <v>0</v>
      </c>
      <c r="C26" s="116">
        <f>'INPUT 1 - 2013 MATERIAL USAGE'!K10+'INPUT 4 - SHEETFED USAGE &amp; EMIS'!K14+'INPUT 4 - SHEETFED USAGE &amp; EMIS'!K18</f>
        <v>0</v>
      </c>
      <c r="D26" s="116">
        <f>'INPUT 1 - 2013 MATERIAL USAGE'!K8+'INPUT 1 - 2013 MATERIAL USAGE'!K9+'INPUT 4 - SHEETFED USAGE &amp; EMIS'!K20</f>
        <v>0</v>
      </c>
    </row>
    <row r="27" spans="1:4" ht="12.75">
      <c r="A27" s="94" t="s">
        <v>35</v>
      </c>
      <c r="B27" s="95">
        <f>'INPUT 2 - INK USAGE &amp; VOC 2013'!C29*('% PRODUCTION'!F5+'% PRODUCTION'!F6)+'INPUT 4 - SHEETFED USAGE &amp; EMIS'!L22+'INPUT 4 - SHEETFED USAGE &amp; EMIS'!L23</f>
        <v>0</v>
      </c>
      <c r="C27" s="116">
        <f>'INPUT 1 - 2013 MATERIAL USAGE'!L10+'INPUT 4 - SHEETFED USAGE &amp; EMIS'!L14+'INPUT 4 - SHEETFED USAGE &amp; EMIS'!L18</f>
        <v>0</v>
      </c>
      <c r="D27" s="116">
        <f>'INPUT 1 - 2013 MATERIAL USAGE'!L8+'INPUT 1 - 2013 MATERIAL USAGE'!L9+'INPUT 4 - SHEETFED USAGE &amp; EMIS'!L20</f>
        <v>0</v>
      </c>
    </row>
    <row r="28" spans="1:4" ht="12.75">
      <c r="A28" s="94" t="s">
        <v>36</v>
      </c>
      <c r="B28" s="95">
        <f>'INPUT 2 - INK USAGE &amp; VOC 2013'!C31*('% PRODUCTION'!F5+'% PRODUCTION'!F6)+'INPUT 4 - SHEETFED USAGE &amp; EMIS'!M22+'INPUT 4 - SHEETFED USAGE &amp; EMIS'!M23</f>
        <v>0</v>
      </c>
      <c r="C28" s="116">
        <f>'INPUT 1 - 2013 MATERIAL USAGE'!M10+'INPUT 4 - SHEETFED USAGE &amp; EMIS'!M14+'INPUT 4 - SHEETFED USAGE &amp; EMIS'!M18</f>
        <v>0</v>
      </c>
      <c r="D28" s="116">
        <f>'INPUT 1 - 2013 MATERIAL USAGE'!M8+'INPUT 1 - 2013 MATERIAL USAGE'!M9+'INPUT 4 - SHEETFED USAGE &amp; EMIS'!M20</f>
        <v>0</v>
      </c>
    </row>
    <row r="29" spans="2:4" s="179" customFormat="1" ht="12.75">
      <c r="B29" s="205">
        <f>SUM(B17:B28)</f>
        <v>246924.75755481358</v>
      </c>
      <c r="C29" s="206">
        <f>SUM(C17:C28)</f>
        <v>2382</v>
      </c>
      <c r="D29" s="207">
        <f>SUM(D17:D28)</f>
        <v>2050</v>
      </c>
    </row>
  </sheetData>
  <sheetProtection selectLockedCells="1" selectUnlockedCells="1"/>
  <mergeCells count="13">
    <mergeCell ref="B8:C8"/>
    <mergeCell ref="E8:F8"/>
    <mergeCell ref="G8:H8"/>
    <mergeCell ref="A1:I1"/>
    <mergeCell ref="A2:I2"/>
    <mergeCell ref="A4:I4"/>
    <mergeCell ref="A3:I3"/>
    <mergeCell ref="A12:D12"/>
    <mergeCell ref="A11:D11"/>
    <mergeCell ref="A7:C7"/>
    <mergeCell ref="E7:F7"/>
    <mergeCell ref="A6:I6"/>
    <mergeCell ref="G7:H7"/>
  </mergeCells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12" sqref="A12:D12"/>
    </sheetView>
  </sheetViews>
  <sheetFormatPr defaultColWidth="9.140625" defaultRowHeight="12.75"/>
  <cols>
    <col min="1" max="1" width="17.28125" style="87" customWidth="1"/>
    <col min="2" max="2" width="22.421875" style="87" bestFit="1" customWidth="1"/>
    <col min="3" max="3" width="22.8515625" style="87" customWidth="1"/>
    <col min="4" max="4" width="16.28125" style="87" customWidth="1"/>
    <col min="5" max="6" width="9.140625" style="87" hidden="1" customWidth="1"/>
    <col min="7" max="7" width="9.140625" style="87" customWidth="1"/>
    <col min="8" max="8" width="13.140625" style="87" customWidth="1"/>
    <col min="9" max="9" width="11.28125" style="87" customWidth="1"/>
    <col min="10" max="16384" width="9.140625" style="87" customWidth="1"/>
  </cols>
  <sheetData>
    <row r="1" spans="1:9" ht="12.75">
      <c r="A1" s="366" t="s">
        <v>192</v>
      </c>
      <c r="B1" s="366"/>
      <c r="C1" s="366"/>
      <c r="D1" s="366"/>
      <c r="E1" s="366"/>
      <c r="F1" s="366"/>
      <c r="G1" s="366"/>
      <c r="H1" s="366"/>
      <c r="I1" s="367"/>
    </row>
    <row r="2" spans="1:9" ht="12.75">
      <c r="A2" s="368" t="s">
        <v>254</v>
      </c>
      <c r="B2" s="360"/>
      <c r="C2" s="360"/>
      <c r="D2" s="360"/>
      <c r="E2" s="360"/>
      <c r="F2" s="360"/>
      <c r="G2" s="360"/>
      <c r="H2" s="360"/>
      <c r="I2" s="367"/>
    </row>
    <row r="3" spans="1:9" ht="12.75">
      <c r="A3" s="368" t="s">
        <v>230</v>
      </c>
      <c r="B3" s="368"/>
      <c r="C3" s="368"/>
      <c r="D3" s="368"/>
      <c r="E3" s="368"/>
      <c r="F3" s="368"/>
      <c r="G3" s="368"/>
      <c r="H3" s="368"/>
      <c r="I3" s="368"/>
    </row>
    <row r="4" spans="1:9" ht="13.5" thickBot="1">
      <c r="A4" s="369"/>
      <c r="B4" s="367"/>
      <c r="C4" s="367"/>
      <c r="D4" s="367"/>
      <c r="E4" s="367"/>
      <c r="F4" s="367"/>
      <c r="G4" s="367"/>
      <c r="H4" s="367"/>
      <c r="I4" s="367"/>
    </row>
    <row r="5" spans="1:10" ht="13.5" thickBot="1">
      <c r="A5" s="184" t="s">
        <v>188</v>
      </c>
      <c r="B5" s="180"/>
      <c r="C5" s="181"/>
      <c r="D5" s="181"/>
      <c r="E5" s="181"/>
      <c r="F5" s="181"/>
      <c r="G5" s="182" t="s">
        <v>175</v>
      </c>
      <c r="H5" s="185"/>
      <c r="I5" s="183">
        <f>SUM(B17:B28)</f>
        <v>134662.2424451864</v>
      </c>
      <c r="J5"/>
    </row>
    <row r="6" spans="1:9" ht="13.5" thickBot="1">
      <c r="A6" s="376"/>
      <c r="B6" s="377"/>
      <c r="C6" s="377"/>
      <c r="D6" s="377"/>
      <c r="E6" s="377"/>
      <c r="F6" s="377"/>
      <c r="G6" s="377"/>
      <c r="H6" s="377"/>
      <c r="I6" s="378"/>
    </row>
    <row r="7" spans="1:9" ht="13.5" thickBot="1">
      <c r="A7" s="376" t="s">
        <v>189</v>
      </c>
      <c r="B7" s="377"/>
      <c r="C7" s="378"/>
      <c r="D7" s="159"/>
      <c r="E7" s="379"/>
      <c r="F7" s="380"/>
      <c r="G7" s="381" t="s">
        <v>71</v>
      </c>
      <c r="H7" s="382"/>
      <c r="I7" s="162">
        <f>SUM(D17:D28)</f>
        <v>105</v>
      </c>
    </row>
    <row r="8" spans="1:9" ht="13.5" thickBot="1">
      <c r="A8" s="160"/>
      <c r="B8" s="383"/>
      <c r="C8" s="384"/>
      <c r="D8" s="161"/>
      <c r="E8" s="376"/>
      <c r="F8" s="384"/>
      <c r="G8" s="381" t="s">
        <v>72</v>
      </c>
      <c r="H8" s="382"/>
      <c r="I8" s="162">
        <f>SUM(C17:C28)</f>
        <v>0</v>
      </c>
    </row>
    <row r="11" spans="1:4" ht="12.75">
      <c r="A11" s="373" t="s">
        <v>253</v>
      </c>
      <c r="B11" s="374"/>
      <c r="C11" s="374"/>
      <c r="D11" s="375"/>
    </row>
    <row r="12" spans="1:4" ht="12.75">
      <c r="A12" s="370" t="s">
        <v>230</v>
      </c>
      <c r="B12" s="371"/>
      <c r="C12" s="371"/>
      <c r="D12" s="372"/>
    </row>
    <row r="15" spans="1:4" ht="12.75">
      <c r="A15" s="115" t="s">
        <v>78</v>
      </c>
      <c r="B15" s="115" t="s">
        <v>176</v>
      </c>
      <c r="C15" s="115" t="s">
        <v>80</v>
      </c>
      <c r="D15" s="115" t="s">
        <v>134</v>
      </c>
    </row>
    <row r="16" spans="1:4" ht="12.75">
      <c r="A16" s="115"/>
      <c r="B16" s="115" t="s">
        <v>82</v>
      </c>
      <c r="C16" s="115" t="s">
        <v>83</v>
      </c>
      <c r="D16" s="115" t="str">
        <f>C16</f>
        <v>GAL</v>
      </c>
    </row>
    <row r="17" spans="1:4" ht="12.75">
      <c r="A17" s="94" t="s">
        <v>75</v>
      </c>
      <c r="B17" s="95">
        <f>'INPUT 2 - INK USAGE &amp; VOC 2013'!C9*'% PRODUCTION'!F7</f>
        <v>22496.536145373146</v>
      </c>
      <c r="C17" s="116">
        <f>'INPUT 1 - 2013 MATERIAL USAGE'!B$12</f>
        <v>0</v>
      </c>
      <c r="D17" s="116">
        <f>'2013 VOC-HAP TRACKING '!B222</f>
        <v>20</v>
      </c>
    </row>
    <row r="18" spans="1:4" ht="12.75">
      <c r="A18" s="94" t="s">
        <v>26</v>
      </c>
      <c r="B18" s="95">
        <f>'INPUT 2 - INK USAGE &amp; VOC 2013'!C11*'% PRODUCTION'!F7</f>
        <v>18192.752880791144</v>
      </c>
      <c r="C18" s="116">
        <f>'INPUT 1 - 2013 MATERIAL USAGE'!C$12</f>
        <v>0</v>
      </c>
      <c r="D18" s="116">
        <f>'2013 VOC-HAP TRACKING '!B223</f>
        <v>25</v>
      </c>
    </row>
    <row r="19" spans="1:4" ht="12.75">
      <c r="A19" s="94" t="s">
        <v>27</v>
      </c>
      <c r="B19" s="95">
        <f>'INPUT 2 - INK USAGE &amp; VOC 2013'!C13*'% PRODUCTION'!F7</f>
        <v>25976.48670571793</v>
      </c>
      <c r="C19" s="116">
        <f>'INPUT 1 - 2013 MATERIAL USAGE'!D$12</f>
        <v>0</v>
      </c>
      <c r="D19" s="116">
        <f>'2013 VOC-HAP TRACKING '!B224</f>
        <v>15</v>
      </c>
    </row>
    <row r="20" spans="1:4" ht="12.75">
      <c r="A20" s="94" t="s">
        <v>28</v>
      </c>
      <c r="B20" s="95">
        <f>'INPUT 2 - INK USAGE &amp; VOC 2013'!C15*'% PRODUCTION'!F7</f>
        <v>19861.09870858691</v>
      </c>
      <c r="C20" s="116">
        <f>'INPUT 1 - 2013 MATERIAL USAGE'!E$12</f>
        <v>0</v>
      </c>
      <c r="D20" s="116">
        <f>'2013 VOC-HAP TRACKING '!B225</f>
        <v>15</v>
      </c>
    </row>
    <row r="21" spans="1:4" ht="12.75">
      <c r="A21" s="94" t="s">
        <v>29</v>
      </c>
      <c r="B21" s="95">
        <f>'INPUT 2 - INK USAGE &amp; VOC 2013'!C17*'% PRODUCTION'!F7</f>
        <v>18622.15358742688</v>
      </c>
      <c r="C21" s="116">
        <f>'INPUT 1 - 2013 MATERIAL USAGE'!F$12</f>
        <v>0</v>
      </c>
      <c r="D21" s="116">
        <f>'2013 VOC-HAP TRACKING '!B226</f>
        <v>15</v>
      </c>
    </row>
    <row r="22" spans="1:4" ht="12.75">
      <c r="A22" s="94" t="s">
        <v>30</v>
      </c>
      <c r="B22" s="95">
        <f>'INPUT 2 - INK USAGE &amp; VOC 2013'!C19*'% PRODUCTION'!F7</f>
        <v>14190.903738300649</v>
      </c>
      <c r="C22" s="116">
        <f>'INPUT 1 - 2013 MATERIAL USAGE'!G$12</f>
        <v>0</v>
      </c>
      <c r="D22" s="116">
        <f>'2013 VOC-HAP TRACKING '!B227</f>
        <v>15</v>
      </c>
    </row>
    <row r="23" spans="1:4" ht="12.75">
      <c r="A23" s="94" t="s">
        <v>31</v>
      </c>
      <c r="B23" s="95">
        <f>'INPUT 2 - INK USAGE &amp; VOC 2013'!C21*'% PRODUCTION'!F7</f>
        <v>15322.310678989732</v>
      </c>
      <c r="C23" s="116">
        <f>'INPUT 1 - 2013 MATERIAL USAGE'!H$12</f>
        <v>0</v>
      </c>
      <c r="D23" s="116">
        <f>'2013 VOC-HAP TRACKING '!B228</f>
        <v>0</v>
      </c>
    </row>
    <row r="24" spans="1:4" ht="12.75">
      <c r="A24" s="94" t="s">
        <v>32</v>
      </c>
      <c r="B24" s="95">
        <f>'INPUT 2 - INK USAGE &amp; VOC 2013'!C23*'% PRODUCTION'!F7</f>
        <v>0</v>
      </c>
      <c r="C24" s="116">
        <f>'INPUT 1 - 2013 MATERIAL USAGE'!I$12</f>
        <v>0</v>
      </c>
      <c r="D24" s="116">
        <f>'2013 VOC-HAP TRACKING '!B229</f>
        <v>0</v>
      </c>
    </row>
    <row r="25" spans="1:4" ht="12.75">
      <c r="A25" s="94" t="s">
        <v>33</v>
      </c>
      <c r="B25" s="95">
        <f>'INPUT 2 - INK USAGE &amp; VOC 2013'!C25*'% PRODUCTION'!F7</f>
        <v>0</v>
      </c>
      <c r="C25" s="116">
        <f>'INPUT 1 - 2013 MATERIAL USAGE'!J$12</f>
        <v>0</v>
      </c>
      <c r="D25" s="116">
        <f>'2013 VOC-HAP TRACKING '!B230</f>
        <v>0</v>
      </c>
    </row>
    <row r="26" spans="1:4" ht="12.75">
      <c r="A26" s="94" t="s">
        <v>34</v>
      </c>
      <c r="B26" s="95">
        <f>'INPUT 2 - INK USAGE &amp; VOC 2013'!C27*'% PRODUCTION'!F7</f>
        <v>0</v>
      </c>
      <c r="C26" s="116">
        <f>'INPUT 1 - 2013 MATERIAL USAGE'!K$12</f>
        <v>0</v>
      </c>
      <c r="D26" s="116">
        <f>'2013 VOC-HAP TRACKING '!B231</f>
        <v>0</v>
      </c>
    </row>
    <row r="27" spans="1:4" ht="12.75">
      <c r="A27" s="94" t="s">
        <v>35</v>
      </c>
      <c r="B27" s="95">
        <f>'INPUT 2 - INK USAGE &amp; VOC 2013'!C29*'% PRODUCTION'!F7</f>
        <v>0</v>
      </c>
      <c r="C27" s="116">
        <f>'INPUT 1 - 2013 MATERIAL USAGE'!L$12</f>
        <v>0</v>
      </c>
      <c r="D27" s="116">
        <f>'2013 VOC-HAP TRACKING '!B232</f>
        <v>0</v>
      </c>
    </row>
    <row r="28" spans="1:4" ht="12.75">
      <c r="A28" s="94" t="s">
        <v>36</v>
      </c>
      <c r="B28" s="95">
        <f>'INPUT 2 - INK USAGE &amp; VOC 2013'!C31*'% PRODUCTION'!F7</f>
        <v>0</v>
      </c>
      <c r="C28" s="116">
        <f>'INPUT 1 - 2013 MATERIAL USAGE'!M$12</f>
        <v>0</v>
      </c>
      <c r="D28" s="116">
        <f>'2013 VOC-HAP TRACKING '!B233</f>
        <v>0</v>
      </c>
    </row>
    <row r="29" spans="2:4" s="179" customFormat="1" ht="12.75">
      <c r="B29" s="205">
        <f>SUM(B17:B28)</f>
        <v>134662.2424451864</v>
      </c>
      <c r="C29" s="206">
        <f>SUM(C17:C28)</f>
        <v>0</v>
      </c>
      <c r="D29" s="207">
        <f>SUM(D17:D28)</f>
        <v>105</v>
      </c>
    </row>
  </sheetData>
  <sheetProtection selectLockedCells="1" selectUnlockedCells="1"/>
  <mergeCells count="13">
    <mergeCell ref="G8:H8"/>
    <mergeCell ref="A1:I1"/>
    <mergeCell ref="A2:I2"/>
    <mergeCell ref="A4:I4"/>
    <mergeCell ref="A3:I3"/>
    <mergeCell ref="A6:I6"/>
    <mergeCell ref="G7:H7"/>
    <mergeCell ref="A12:D12"/>
    <mergeCell ref="A11:D11"/>
    <mergeCell ref="A7:C7"/>
    <mergeCell ref="E7:F7"/>
    <mergeCell ref="B8:C8"/>
    <mergeCell ref="E8:F8"/>
  </mergeCells>
  <printOptions horizontalCentered="1"/>
  <pageMargins left="0.75" right="0.75" top="1" bottom="1" header="0.5" footer="0.5"/>
  <pageSetup fitToHeight="1" fitToWidth="1" horizontalDpi="600" verticalDpi="600" orientation="portrait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2"/>
  <sheetViews>
    <sheetView view="pageBreakPreview" zoomScale="80" zoomScaleSheetLayoutView="80" zoomScalePageLayoutView="0" workbookViewId="0" topLeftCell="B1">
      <selection activeCell="D490" sqref="D490"/>
    </sheetView>
  </sheetViews>
  <sheetFormatPr defaultColWidth="9.140625" defaultRowHeight="12.75"/>
  <cols>
    <col min="2" max="2" width="15.7109375" style="0" customWidth="1"/>
    <col min="3" max="3" width="26.00390625" style="6" customWidth="1"/>
    <col min="4" max="4" width="25.28125" style="6" customWidth="1"/>
    <col min="5" max="5" width="12.421875" style="6" customWidth="1"/>
    <col min="6" max="6" width="11.421875" style="6" customWidth="1"/>
    <col min="7" max="7" width="13.421875" style="193" customWidth="1"/>
    <col min="8" max="8" width="15.140625" style="6" customWidth="1"/>
    <col min="9" max="9" width="11.00390625" style="7" bestFit="1" customWidth="1"/>
    <col min="10" max="10" width="4.8515625" style="8" customWidth="1"/>
    <col min="11" max="11" width="13.28125" style="0" customWidth="1"/>
    <col min="12" max="12" width="3.8515625" style="0" hidden="1" customWidth="1"/>
    <col min="13" max="13" width="32.00390625" style="0" customWidth="1"/>
    <col min="14" max="14" width="13.00390625" style="2" customWidth="1"/>
  </cols>
  <sheetData>
    <row r="1" spans="1:14" s="3" customFormat="1" ht="12.75">
      <c r="A1" s="401" t="s">
        <v>192</v>
      </c>
      <c r="B1" s="402"/>
      <c r="C1" s="402"/>
      <c r="D1" s="402"/>
      <c r="E1" s="402"/>
      <c r="F1" s="402"/>
      <c r="G1" s="402"/>
      <c r="H1" s="402"/>
      <c r="I1" s="1"/>
      <c r="J1" s="2"/>
      <c r="M1"/>
      <c r="N1" s="2"/>
    </row>
    <row r="2" spans="1:14" s="3" customFormat="1" ht="13.5" thickBot="1">
      <c r="A2" s="420" t="s">
        <v>257</v>
      </c>
      <c r="B2" s="421"/>
      <c r="C2" s="421"/>
      <c r="D2" s="421"/>
      <c r="E2" s="421"/>
      <c r="F2" s="421"/>
      <c r="G2" s="421"/>
      <c r="H2" s="421"/>
      <c r="I2" s="1"/>
      <c r="M2"/>
      <c r="N2" s="2"/>
    </row>
    <row r="3" ht="13.5" thickTop="1">
      <c r="A3" s="5"/>
    </row>
    <row r="4" spans="1:8" ht="18.75" customHeight="1">
      <c r="A4" s="423" t="s">
        <v>193</v>
      </c>
      <c r="B4" s="423"/>
      <c r="C4" s="423"/>
      <c r="D4" s="423"/>
      <c r="E4" s="423"/>
      <c r="F4" s="423"/>
      <c r="G4" s="423"/>
      <c r="H4"/>
    </row>
    <row r="5" spans="1:8" ht="18.75" customHeight="1">
      <c r="A5" s="423" t="s">
        <v>210</v>
      </c>
      <c r="B5" s="423"/>
      <c r="C5" s="423"/>
      <c r="D5" s="423"/>
      <c r="E5" s="423"/>
      <c r="F5" s="423"/>
      <c r="G5" s="423"/>
      <c r="H5"/>
    </row>
    <row r="6" spans="1:8" ht="18.75" customHeight="1">
      <c r="A6" s="424" t="s">
        <v>183</v>
      </c>
      <c r="B6" s="424"/>
      <c r="C6" s="424"/>
      <c r="D6" s="424"/>
      <c r="E6" s="424"/>
      <c r="F6" s="424"/>
      <c r="G6" s="424"/>
      <c r="H6"/>
    </row>
    <row r="7" spans="1:14" ht="24">
      <c r="A7" s="425" t="s">
        <v>137</v>
      </c>
      <c r="B7" s="426"/>
      <c r="C7" s="81" t="s">
        <v>1</v>
      </c>
      <c r="D7" s="82" t="s">
        <v>2</v>
      </c>
      <c r="E7" s="83" t="s">
        <v>49</v>
      </c>
      <c r="F7" s="84" t="s">
        <v>50</v>
      </c>
      <c r="H7"/>
      <c r="M7" s="6"/>
      <c r="N7" s="10"/>
    </row>
    <row r="8" spans="1:14" s="11" customFormat="1" ht="12.75">
      <c r="A8" s="422" t="s">
        <v>136</v>
      </c>
      <c r="B8" s="422"/>
      <c r="C8" s="190">
        <f>'INPUT 2 - INK USAGE &amp; VOC 2013'!C9</f>
        <v>59830</v>
      </c>
      <c r="D8" s="190">
        <f>'INPUT 2 - INK USAGE &amp; VOC 2013'!D9</f>
        <v>22535.82</v>
      </c>
      <c r="E8" s="192">
        <f>'INPUT 2 - INK USAGE &amp; VOC 2013'!G90+'INPUT 2 - INK USAGE &amp; VOC 2013'!G36+'INPUT 2 - INK USAGE &amp; VOC 2013'!G63</f>
        <v>1238.9251167926634</v>
      </c>
      <c r="F8" s="12">
        <f aca="true" t="shared" si="0" ref="F8:F19">E8/2000</f>
        <v>0.6194625583963317</v>
      </c>
      <c r="G8" s="194"/>
      <c r="H8"/>
      <c r="J8" s="8"/>
      <c r="M8" s="8"/>
      <c r="N8" s="2"/>
    </row>
    <row r="9" spans="1:14" s="11" customFormat="1" ht="12.75">
      <c r="A9" s="422" t="s">
        <v>138</v>
      </c>
      <c r="B9" s="422"/>
      <c r="C9" s="190">
        <f>'INPUT 2 - INK USAGE &amp; VOC 2013'!C11</f>
        <v>48384</v>
      </c>
      <c r="D9" s="190">
        <f>'INPUT 2 - INK USAGE &amp; VOC 2013'!D11</f>
        <v>19482.2</v>
      </c>
      <c r="E9" s="42">
        <f>'INPUT 2 - INK USAGE &amp; VOC 2013'!G92+'INPUT 2 - INK USAGE &amp; VOC 2013'!G38+'INPUT 2 - INK USAGE &amp; VOC 2013'!G65</f>
        <v>1071.0498624136164</v>
      </c>
      <c r="F9" s="12">
        <f t="shared" si="0"/>
        <v>0.5355249312068082</v>
      </c>
      <c r="G9" s="194"/>
      <c r="H9"/>
      <c r="J9" s="8"/>
      <c r="M9" s="8"/>
      <c r="N9" s="14"/>
    </row>
    <row r="10" spans="1:14" s="11" customFormat="1" ht="12.75">
      <c r="A10" s="422" t="s">
        <v>139</v>
      </c>
      <c r="B10" s="422"/>
      <c r="C10" s="190">
        <f>'INPUT 2 - INK USAGE &amp; VOC 2013'!C13</f>
        <v>69085</v>
      </c>
      <c r="D10" s="190">
        <f>'INPUT 2 - INK USAGE &amp; VOC 2013'!D13</f>
        <v>27864.35</v>
      </c>
      <c r="E10" s="42">
        <f>'INPUT 2 - INK USAGE &amp; VOC 2013'!G94+'INPUT 2 - INK USAGE &amp; VOC 2013'!G40+'INPUT 2 - INK USAGE &amp; VOC 2013'!G67</f>
        <v>1531.865407076452</v>
      </c>
      <c r="F10" s="12">
        <f t="shared" si="0"/>
        <v>0.765932703538226</v>
      </c>
      <c r="G10" s="194"/>
      <c r="H10"/>
      <c r="J10" s="8"/>
      <c r="M10" s="8"/>
      <c r="N10" s="14"/>
    </row>
    <row r="11" spans="1:14" s="11" customFormat="1" ht="12.75">
      <c r="A11" s="422" t="s">
        <v>140</v>
      </c>
      <c r="B11" s="422"/>
      <c r="C11" s="190">
        <f>'INPUT 2 - INK USAGE &amp; VOC 2013'!C15</f>
        <v>52821</v>
      </c>
      <c r="D11" s="190">
        <f>'INPUT 2 - INK USAGE &amp; VOC 2013'!D15</f>
        <v>20796.92</v>
      </c>
      <c r="E11" s="42">
        <f>'INPUT 2 - INK USAGE &amp; VOC 2013'!G96+'INPUT 2 - INK USAGE &amp; VOC 2013'!G42+'INPUT 2 - INK USAGE &amp; VOC 2013'!G69</f>
        <v>1143.3276685706433</v>
      </c>
      <c r="F11" s="12">
        <f t="shared" si="0"/>
        <v>0.5716638342853216</v>
      </c>
      <c r="G11" s="194"/>
      <c r="H11"/>
      <c r="J11" s="8"/>
      <c r="M11" s="8"/>
      <c r="N11" s="14"/>
    </row>
    <row r="12" spans="1:14" s="11" customFormat="1" ht="12.75">
      <c r="A12" s="422" t="s">
        <v>141</v>
      </c>
      <c r="B12" s="422"/>
      <c r="C12" s="190">
        <f>'INPUT 2 - INK USAGE &amp; VOC 2013'!C17</f>
        <v>49526</v>
      </c>
      <c r="D12" s="190">
        <f>'INPUT 2 - INK USAGE &amp; VOC 2013'!D17</f>
        <v>19836.36</v>
      </c>
      <c r="E12" s="42">
        <f>'INPUT 2 - INK USAGE &amp; VOC 2013'!G98+'INPUT 2 - INK USAGE &amp; VOC 2013'!G44+'INPUT 2 - INK USAGE &amp; VOC 2013'!G71</f>
        <v>1090.52009777063</v>
      </c>
      <c r="F12" s="12">
        <f t="shared" si="0"/>
        <v>0.545260048885315</v>
      </c>
      <c r="G12" s="194"/>
      <c r="H12"/>
      <c r="J12" s="8"/>
      <c r="M12" s="8"/>
      <c r="N12" s="14"/>
    </row>
    <row r="13" spans="1:14" s="11" customFormat="1" ht="12.75">
      <c r="A13" s="422" t="s">
        <v>142</v>
      </c>
      <c r="B13" s="422"/>
      <c r="C13" s="191">
        <f>'INPUT 2 - INK USAGE &amp; VOC 2013'!C19</f>
        <v>37741</v>
      </c>
      <c r="D13" s="191">
        <f>'INPUT 2 - INK USAGE &amp; VOC 2013'!D19</f>
        <v>15090.14</v>
      </c>
      <c r="E13" s="42">
        <f>'INPUT 2 - INK USAGE &amp; VOC 2013'!G100+'INPUT 2 - INK USAGE &amp; VOC 2013'!G46+'INPUT 2 - INK USAGE &amp; VOC 2013'!G73</f>
        <v>829.5927754977472</v>
      </c>
      <c r="F13" s="12">
        <f t="shared" si="0"/>
        <v>0.4147963877488736</v>
      </c>
      <c r="G13" s="194"/>
      <c r="H13"/>
      <c r="J13" s="8"/>
      <c r="M13" s="8"/>
      <c r="N13" s="14"/>
    </row>
    <row r="14" spans="1:14" s="11" customFormat="1" ht="12.75">
      <c r="A14" s="422" t="s">
        <v>143</v>
      </c>
      <c r="B14" s="422"/>
      <c r="C14" s="191">
        <f>'INPUT 2 - INK USAGE &amp; VOC 2013'!C21</f>
        <v>40750</v>
      </c>
      <c r="D14" s="191">
        <f>'INPUT 2 - INK USAGE &amp; VOC 2013'!D21</f>
        <v>16456.21</v>
      </c>
      <c r="E14" s="42">
        <f>'INPUT 2 - INK USAGE &amp; VOC 2013'!G102+'INPUT 2 - INK USAGE &amp; VOC 2013'!G48+'INPUT 2 - INK USAGE &amp; VOC 2013'!G75</f>
        <v>904.6935898589265</v>
      </c>
      <c r="F14" s="12">
        <f t="shared" si="0"/>
        <v>0.4523467949294633</v>
      </c>
      <c r="G14" s="194"/>
      <c r="H14"/>
      <c r="J14" s="8"/>
      <c r="M14" s="8"/>
      <c r="N14" s="14"/>
    </row>
    <row r="15" spans="1:14" s="11" customFormat="1" ht="12.75">
      <c r="A15" s="422" t="s">
        <v>144</v>
      </c>
      <c r="B15" s="422"/>
      <c r="C15" s="191">
        <f>'INPUT 2 - INK USAGE &amp; VOC 2013'!C23</f>
        <v>0</v>
      </c>
      <c r="D15" s="191">
        <f>'INPUT 2 - INK USAGE &amp; VOC 2013'!D23</f>
        <v>0</v>
      </c>
      <c r="E15" s="42">
        <f>'INPUT 2 - INK USAGE &amp; VOC 2013'!G104+'INPUT 2 - INK USAGE &amp; VOC 2013'!G50+'INPUT 2 - INK USAGE &amp; VOC 2013'!G77</f>
        <v>0</v>
      </c>
      <c r="F15" s="12">
        <f t="shared" si="0"/>
        <v>0</v>
      </c>
      <c r="G15" s="194"/>
      <c r="H15"/>
      <c r="J15" s="8"/>
      <c r="M15" s="8"/>
      <c r="N15" s="14"/>
    </row>
    <row r="16" spans="1:14" s="11" customFormat="1" ht="12.75">
      <c r="A16" s="422" t="s">
        <v>145</v>
      </c>
      <c r="B16" s="422"/>
      <c r="C16" s="191">
        <f>'INPUT 2 - INK USAGE &amp; VOC 2013'!C25</f>
        <v>0</v>
      </c>
      <c r="D16" s="191">
        <f>'INPUT 2 - INK USAGE &amp; VOC 2013'!D25</f>
        <v>0</v>
      </c>
      <c r="E16" s="42">
        <f>'INPUT 2 - INK USAGE &amp; VOC 2013'!G106+'INPUT 2 - INK USAGE &amp; VOC 2013'!G52+'INPUT 2 - INK USAGE &amp; VOC 2013'!G79</f>
        <v>0</v>
      </c>
      <c r="F16" s="12">
        <f t="shared" si="0"/>
        <v>0</v>
      </c>
      <c r="G16" s="194"/>
      <c r="H16"/>
      <c r="J16" s="8"/>
      <c r="M16" s="8"/>
      <c r="N16" s="14"/>
    </row>
    <row r="17" spans="1:14" s="11" customFormat="1" ht="12.75">
      <c r="A17" s="422" t="s">
        <v>146</v>
      </c>
      <c r="B17" s="422"/>
      <c r="C17" s="191">
        <f>'INPUT 2 - INK USAGE &amp; VOC 2013'!C27</f>
        <v>0</v>
      </c>
      <c r="D17" s="191">
        <f>'INPUT 2 - INK USAGE &amp; VOC 2013'!D27</f>
        <v>0</v>
      </c>
      <c r="E17" s="42">
        <f>'INPUT 2 - INK USAGE &amp; VOC 2013'!G108+'INPUT 2 - INK USAGE &amp; VOC 2013'!G54+'INPUT 2 - INK USAGE &amp; VOC 2013'!G81</f>
        <v>0</v>
      </c>
      <c r="F17" s="12">
        <f t="shared" si="0"/>
        <v>0</v>
      </c>
      <c r="G17" s="194"/>
      <c r="H17"/>
      <c r="J17" s="8"/>
      <c r="M17" s="8"/>
      <c r="N17" s="14"/>
    </row>
    <row r="18" spans="1:14" s="11" customFormat="1" ht="12.75">
      <c r="A18" s="422" t="s">
        <v>147</v>
      </c>
      <c r="B18" s="422"/>
      <c r="C18" s="191">
        <f>'INPUT 2 - INK USAGE &amp; VOC 2013'!C29</f>
        <v>0</v>
      </c>
      <c r="D18" s="191">
        <f>'INPUT 2 - INK USAGE &amp; VOC 2013'!D29</f>
        <v>0</v>
      </c>
      <c r="E18" s="42">
        <f>'INPUT 2 - INK USAGE &amp; VOC 2013'!G110+'INPUT 2 - INK USAGE &amp; VOC 2013'!G56+'INPUT 2 - INK USAGE &amp; VOC 2013'!G83</f>
        <v>0</v>
      </c>
      <c r="F18" s="12">
        <f t="shared" si="0"/>
        <v>0</v>
      </c>
      <c r="G18" s="194"/>
      <c r="H18"/>
      <c r="J18" s="8"/>
      <c r="M18" s="8"/>
      <c r="N18" s="14"/>
    </row>
    <row r="19" spans="1:14" s="11" customFormat="1" ht="12.75">
      <c r="A19" s="422" t="s">
        <v>148</v>
      </c>
      <c r="B19" s="422"/>
      <c r="C19" s="191">
        <f>'INPUT 2 - INK USAGE &amp; VOC 2013'!C31</f>
        <v>0</v>
      </c>
      <c r="D19" s="191">
        <f>'INPUT 2 - INK USAGE &amp; VOC 2013'!D31</f>
        <v>0</v>
      </c>
      <c r="E19" s="42">
        <f>'INPUT 2 - INK USAGE &amp; VOC 2013'!G112+'INPUT 2 - INK USAGE &amp; VOC 2013'!G58+'INPUT 2 - INK USAGE &amp; VOC 2013'!G85</f>
        <v>0</v>
      </c>
      <c r="F19" s="12">
        <f t="shared" si="0"/>
        <v>0</v>
      </c>
      <c r="G19" s="194"/>
      <c r="H19"/>
      <c r="J19" s="8"/>
      <c r="M19" s="8"/>
      <c r="N19" s="14"/>
    </row>
    <row r="20" spans="1:14" s="11" customFormat="1" ht="12.75">
      <c r="A20" s="430"/>
      <c r="B20" s="431"/>
      <c r="C20" s="38">
        <f>SUM(C8:C19)</f>
        <v>358137</v>
      </c>
      <c r="D20" s="80">
        <f>SUM(D8:D19)</f>
        <v>142062</v>
      </c>
      <c r="E20" s="40"/>
      <c r="F20" s="72">
        <f>SUM(F8:F19)</f>
        <v>3.9049872589903396</v>
      </c>
      <c r="G20" s="51"/>
      <c r="H20"/>
      <c r="J20" s="8"/>
      <c r="M20" s="8"/>
      <c r="N20" s="14"/>
    </row>
    <row r="21" spans="1:14" s="11" customFormat="1" ht="12.75">
      <c r="A21" s="427"/>
      <c r="B21" s="427"/>
      <c r="C21" s="38"/>
      <c r="D21" s="39"/>
      <c r="E21" s="40"/>
      <c r="F21" s="41"/>
      <c r="G21" s="51"/>
      <c r="H21"/>
      <c r="J21" s="8"/>
      <c r="M21" s="8"/>
      <c r="N21" s="14"/>
    </row>
    <row r="22" spans="1:14" s="11" customFormat="1" ht="12.75">
      <c r="A22" s="424" t="s">
        <v>258</v>
      </c>
      <c r="B22" s="424"/>
      <c r="C22" s="424"/>
      <c r="D22" s="424"/>
      <c r="E22" s="40"/>
      <c r="F22" s="41"/>
      <c r="G22" s="51"/>
      <c r="H22"/>
      <c r="J22" s="8"/>
      <c r="M22" s="8"/>
      <c r="N22" s="14"/>
    </row>
    <row r="23" spans="1:14" s="11" customFormat="1" ht="12.75">
      <c r="A23" s="427" t="str">
        <f>A5</f>
        <v>(EU#2, EU#3 &amp; EU#5)</v>
      </c>
      <c r="B23" s="427"/>
      <c r="C23" s="427"/>
      <c r="D23" s="427"/>
      <c r="E23" s="40"/>
      <c r="F23" s="41"/>
      <c r="G23" s="51"/>
      <c r="H23"/>
      <c r="J23" s="8"/>
      <c r="M23" s="8"/>
      <c r="N23" s="14"/>
    </row>
    <row r="24" spans="1:14" s="11" customFormat="1" ht="16.5" customHeight="1">
      <c r="A24" s="429"/>
      <c r="B24" s="429"/>
      <c r="D24" s="8"/>
      <c r="G24" s="194"/>
      <c r="J24" s="8"/>
      <c r="M24" s="8"/>
      <c r="N24" s="14"/>
    </row>
    <row r="25" spans="1:14" s="11" customFormat="1" ht="43.5" customHeight="1">
      <c r="A25" s="428" t="s">
        <v>60</v>
      </c>
      <c r="B25" s="428"/>
      <c r="C25" s="75" t="s">
        <v>58</v>
      </c>
      <c r="D25" s="75" t="s">
        <v>59</v>
      </c>
      <c r="E25"/>
      <c r="F25"/>
      <c r="G25" s="195"/>
      <c r="H25"/>
      <c r="J25" s="8"/>
      <c r="M25" s="8"/>
      <c r="N25" s="14"/>
    </row>
    <row r="26" spans="1:14" s="11" customFormat="1" ht="15" customHeight="1">
      <c r="A26" s="428"/>
      <c r="B26" s="428"/>
      <c r="C26" s="75" t="s">
        <v>64</v>
      </c>
      <c r="D26" s="73" t="s">
        <v>64</v>
      </c>
      <c r="E26"/>
      <c r="F26"/>
      <c r="G26" s="195"/>
      <c r="H26"/>
      <c r="J26" s="8"/>
      <c r="M26" s="8"/>
      <c r="N26" s="14"/>
    </row>
    <row r="27" spans="1:14" s="11" customFormat="1" ht="12.75">
      <c r="A27" s="422" t="str">
        <f aca="true" t="shared" si="1" ref="A27:A38">A8</f>
        <v>Jan</v>
      </c>
      <c r="B27" s="388"/>
      <c r="C27" s="147">
        <f>H83+H49+H66+H153+H118+H136+H205+H171+H188+H222+G256+G239+H100</f>
        <v>0.7338962147268744</v>
      </c>
      <c r="D27" s="147">
        <f>H314+H277+H296+H389+H353+H371+H443+H425+H407+H331</f>
        <v>0.14187511249999998</v>
      </c>
      <c r="E27" s="77"/>
      <c r="F27"/>
      <c r="G27" s="195"/>
      <c r="H27"/>
      <c r="J27" s="8"/>
      <c r="M27" s="8"/>
      <c r="N27" s="14"/>
    </row>
    <row r="28" spans="1:14" s="11" customFormat="1" ht="12.75">
      <c r="A28" s="422" t="str">
        <f t="shared" si="1"/>
        <v>Feb </v>
      </c>
      <c r="B28" s="388"/>
      <c r="C28" s="147">
        <f aca="true" t="shared" si="2" ref="C28:C38">H84+H50+H67+H154+H119+H137+H206+H172+H189+H223+G257+G240+H101</f>
        <v>0.6881343182541869</v>
      </c>
      <c r="D28" s="147">
        <f>H315+H278+H297+H390+H354+H372+H444+H426+H408+H332</f>
        <v>0.18532305</v>
      </c>
      <c r="E28"/>
      <c r="F28"/>
      <c r="G28" s="195"/>
      <c r="H28"/>
      <c r="J28" s="8"/>
      <c r="M28" s="8"/>
      <c r="N28" s="14"/>
    </row>
    <row r="29" spans="1:14" s="11" customFormat="1" ht="12.75">
      <c r="A29" s="422" t="str">
        <f t="shared" si="1"/>
        <v>mar</v>
      </c>
      <c r="B29" s="388"/>
      <c r="C29" s="147">
        <f t="shared" si="2"/>
        <v>0.6177573397268745</v>
      </c>
      <c r="D29" s="147">
        <f aca="true" t="shared" si="3" ref="D29:D38">H316+H279+H298+H391+H355+H373+H445+H409+H427+H333</f>
        <v>0.13769607500000003</v>
      </c>
      <c r="E29"/>
      <c r="F29"/>
      <c r="G29" s="195"/>
      <c r="H29"/>
      <c r="J29" s="8"/>
      <c r="M29" s="8"/>
      <c r="N29" s="14"/>
    </row>
    <row r="30" spans="1:14" s="11" customFormat="1" ht="12.75">
      <c r="A30" s="422" t="str">
        <f t="shared" si="1"/>
        <v>Apr</v>
      </c>
      <c r="B30" s="388"/>
      <c r="C30" s="147">
        <f t="shared" si="2"/>
        <v>0.7735943397268746</v>
      </c>
      <c r="D30" s="147">
        <f t="shared" si="3"/>
        <v>0.1830115375</v>
      </c>
      <c r="E30"/>
      <c r="F30"/>
      <c r="G30" s="195"/>
      <c r="H30"/>
      <c r="J30" s="8"/>
      <c r="M30" s="8"/>
      <c r="N30" s="14"/>
    </row>
    <row r="31" spans="1:14" s="11" customFormat="1" ht="12.75">
      <c r="A31" s="422" t="str">
        <f t="shared" si="1"/>
        <v>May</v>
      </c>
      <c r="B31" s="388"/>
      <c r="C31" s="147">
        <f t="shared" si="2"/>
        <v>0.6407666970903118</v>
      </c>
      <c r="D31" s="147">
        <f t="shared" si="3"/>
        <v>0.10173556249999999</v>
      </c>
      <c r="E31"/>
      <c r="F31"/>
      <c r="G31" s="195"/>
      <c r="H31"/>
      <c r="J31" s="8"/>
      <c r="M31" s="8"/>
      <c r="N31" s="14"/>
    </row>
    <row r="32" spans="1:14" s="11" customFormat="1" ht="12.75">
      <c r="A32" s="422" t="str">
        <f t="shared" si="1"/>
        <v>June </v>
      </c>
      <c r="B32" s="388"/>
      <c r="C32" s="147">
        <f t="shared" si="2"/>
        <v>0.6335477323634373</v>
      </c>
      <c r="D32" s="147">
        <f t="shared" si="3"/>
        <v>0.10173556249999999</v>
      </c>
      <c r="E32"/>
      <c r="F32"/>
      <c r="G32" s="195"/>
      <c r="H32"/>
      <c r="J32" s="8"/>
      <c r="M32" s="8"/>
      <c r="N32" s="14"/>
    </row>
    <row r="33" spans="1:14" s="11" customFormat="1" ht="12.75">
      <c r="A33" s="422" t="str">
        <f t="shared" si="1"/>
        <v>July </v>
      </c>
      <c r="B33" s="388"/>
      <c r="C33" s="147">
        <f t="shared" si="2"/>
        <v>0.5435322147268744</v>
      </c>
      <c r="D33" s="147">
        <f t="shared" si="3"/>
        <v>0.1533874375</v>
      </c>
      <c r="E33"/>
      <c r="F33"/>
      <c r="G33" s="195"/>
      <c r="H33"/>
      <c r="J33" s="8"/>
      <c r="M33" s="8"/>
      <c r="N33" s="14"/>
    </row>
    <row r="34" spans="1:14" s="11" customFormat="1" ht="12.75">
      <c r="A34" s="422" t="str">
        <f t="shared" si="1"/>
        <v>Aug </v>
      </c>
      <c r="B34" s="388"/>
      <c r="C34" s="147">
        <f t="shared" si="2"/>
        <v>0</v>
      </c>
      <c r="D34" s="147">
        <f t="shared" si="3"/>
        <v>0</v>
      </c>
      <c r="E34"/>
      <c r="F34"/>
      <c r="G34" s="195"/>
      <c r="H34"/>
      <c r="J34" s="8"/>
      <c r="M34" s="8"/>
      <c r="N34" s="14"/>
    </row>
    <row r="35" spans="1:14" s="11" customFormat="1" ht="12.75">
      <c r="A35" s="422" t="str">
        <f t="shared" si="1"/>
        <v>Sep</v>
      </c>
      <c r="B35" s="388"/>
      <c r="C35" s="147">
        <f t="shared" si="2"/>
        <v>0</v>
      </c>
      <c r="D35" s="147">
        <f t="shared" si="3"/>
        <v>0</v>
      </c>
      <c r="E35"/>
      <c r="F35"/>
      <c r="G35" s="195"/>
      <c r="H35"/>
      <c r="J35" s="8"/>
      <c r="M35" s="8"/>
      <c r="N35" s="14"/>
    </row>
    <row r="36" spans="1:14" s="11" customFormat="1" ht="12.75">
      <c r="A36" s="422" t="str">
        <f t="shared" si="1"/>
        <v>Oct</v>
      </c>
      <c r="B36" s="388"/>
      <c r="C36" s="147">
        <f t="shared" si="2"/>
        <v>0</v>
      </c>
      <c r="D36" s="147">
        <f t="shared" si="3"/>
        <v>0</v>
      </c>
      <c r="E36"/>
      <c r="F36"/>
      <c r="G36" s="195"/>
      <c r="H36"/>
      <c r="J36" s="8"/>
      <c r="M36" s="8"/>
      <c r="N36" s="14"/>
    </row>
    <row r="37" spans="1:14" s="11" customFormat="1" ht="12.75">
      <c r="A37" s="422" t="str">
        <f t="shared" si="1"/>
        <v>Nov </v>
      </c>
      <c r="B37" s="388"/>
      <c r="C37" s="147">
        <f t="shared" si="2"/>
        <v>0</v>
      </c>
      <c r="D37" s="147">
        <f t="shared" si="3"/>
        <v>0</v>
      </c>
      <c r="E37"/>
      <c r="F37"/>
      <c r="G37" s="195"/>
      <c r="H37"/>
      <c r="J37" s="8"/>
      <c r="M37" s="8"/>
      <c r="N37" s="14"/>
    </row>
    <row r="38" spans="1:14" s="11" customFormat="1" ht="12.75">
      <c r="A38" s="422" t="str">
        <f t="shared" si="1"/>
        <v>Dec</v>
      </c>
      <c r="B38" s="388"/>
      <c r="C38" s="147">
        <f t="shared" si="2"/>
        <v>0</v>
      </c>
      <c r="D38" s="147">
        <f t="shared" si="3"/>
        <v>0</v>
      </c>
      <c r="E38"/>
      <c r="F38"/>
      <c r="G38" s="195"/>
      <c r="H38"/>
      <c r="J38" s="8"/>
      <c r="M38" s="8"/>
      <c r="N38" s="14"/>
    </row>
    <row r="39" spans="1:14" s="11" customFormat="1" ht="12.75">
      <c r="A39" s="36"/>
      <c r="B39" s="37"/>
      <c r="C39" s="76">
        <f>SUM(C27:C38)</f>
        <v>4.631228856615434</v>
      </c>
      <c r="D39" s="39">
        <f>SUM(D27:D38)</f>
        <v>1.0047643375</v>
      </c>
      <c r="E39" s="78"/>
      <c r="F39" s="41"/>
      <c r="G39" s="51"/>
      <c r="H39"/>
      <c r="J39" s="8"/>
      <c r="M39" s="8"/>
      <c r="N39" s="14"/>
    </row>
    <row r="40" spans="1:8" ht="12.75">
      <c r="A40" s="43"/>
      <c r="B40" s="21"/>
      <c r="C40" s="21"/>
      <c r="D40" s="21"/>
      <c r="E40" s="21"/>
      <c r="F40" s="21"/>
      <c r="G40" s="196"/>
      <c r="H40" s="21"/>
    </row>
    <row r="41" spans="1:14" s="4" customFormat="1" ht="13.5" thickBot="1">
      <c r="A41" s="49"/>
      <c r="B41" s="49"/>
      <c r="C41" s="49"/>
      <c r="D41" s="74"/>
      <c r="E41" s="49"/>
      <c r="F41" s="49"/>
      <c r="G41" s="197"/>
      <c r="H41" s="49"/>
      <c r="I41" s="7"/>
      <c r="J41" s="2"/>
      <c r="N41" s="2"/>
    </row>
    <row r="42" spans="1:14" s="4" customFormat="1" ht="12.75" thickBot="1">
      <c r="A42" s="432" t="s">
        <v>192</v>
      </c>
      <c r="B42" s="433"/>
      <c r="C42" s="433"/>
      <c r="D42" s="433"/>
      <c r="E42" s="433"/>
      <c r="F42" s="433"/>
      <c r="G42" s="433"/>
      <c r="H42" s="434"/>
      <c r="I42" s="7"/>
      <c r="J42" s="2"/>
      <c r="N42" s="2"/>
    </row>
    <row r="43" spans="1:14" s="4" customFormat="1" ht="13.5" thickBot="1" thickTop="1">
      <c r="A43" s="398" t="s">
        <v>61</v>
      </c>
      <c r="B43" s="399"/>
      <c r="C43" s="399"/>
      <c r="D43" s="399"/>
      <c r="E43" s="399"/>
      <c r="F43" s="399"/>
      <c r="G43" s="399"/>
      <c r="H43" s="400"/>
      <c r="I43" s="7"/>
      <c r="J43" s="2"/>
      <c r="N43" s="2"/>
    </row>
    <row r="44" spans="1:14" s="4" customFormat="1" ht="12.75" thickBot="1">
      <c r="A44" s="22"/>
      <c r="B44" s="23"/>
      <c r="C44" s="23"/>
      <c r="D44" s="23"/>
      <c r="E44" s="24"/>
      <c r="F44" s="24"/>
      <c r="G44" s="198"/>
      <c r="H44" s="24"/>
      <c r="I44" s="7"/>
      <c r="J44" s="2"/>
      <c r="N44" s="2"/>
    </row>
    <row r="45" spans="1:14" s="4" customFormat="1" ht="12.75" thickBot="1">
      <c r="A45" s="29"/>
      <c r="B45" s="25"/>
      <c r="C45" s="25"/>
      <c r="D45" s="25"/>
      <c r="E45" s="25"/>
      <c r="F45" s="31"/>
      <c r="G45" s="51"/>
      <c r="H45" s="30"/>
      <c r="I45" s="7"/>
      <c r="J45" s="2"/>
      <c r="N45" s="2"/>
    </row>
    <row r="46" spans="1:14" s="4" customFormat="1" ht="12.75" thickBot="1">
      <c r="A46" s="439" t="s">
        <v>179</v>
      </c>
      <c r="B46" s="440"/>
      <c r="C46" s="440"/>
      <c r="D46" s="440"/>
      <c r="E46" s="440"/>
      <c r="F46" s="440"/>
      <c r="G46" s="440"/>
      <c r="H46" s="441"/>
      <c r="I46" s="7"/>
      <c r="J46" s="2"/>
      <c r="N46" s="2"/>
    </row>
    <row r="47" spans="1:14" s="4" customFormat="1" ht="24.75" thickBot="1">
      <c r="A47" s="46" t="s">
        <v>6</v>
      </c>
      <c r="B47" s="47" t="s">
        <v>7</v>
      </c>
      <c r="C47" s="47" t="s">
        <v>8</v>
      </c>
      <c r="D47" s="47" t="s">
        <v>9</v>
      </c>
      <c r="E47" s="48" t="s">
        <v>10</v>
      </c>
      <c r="F47" s="48" t="s">
        <v>3</v>
      </c>
      <c r="G47" s="200" t="s">
        <v>4</v>
      </c>
      <c r="H47" s="48" t="s">
        <v>5</v>
      </c>
      <c r="I47" s="7"/>
      <c r="J47" s="2"/>
      <c r="N47" s="2"/>
    </row>
    <row r="48" spans="1:14" s="4" customFormat="1" ht="12.75" thickBot="1">
      <c r="A48" s="392" t="s">
        <v>55</v>
      </c>
      <c r="B48" s="395"/>
      <c r="C48" s="395"/>
      <c r="D48" s="395"/>
      <c r="E48" s="395"/>
      <c r="F48" s="395"/>
      <c r="G48" s="395"/>
      <c r="H48" s="396"/>
      <c r="I48" s="7"/>
      <c r="J48" s="2"/>
      <c r="N48" s="2"/>
    </row>
    <row r="49" spans="1:14" s="4" customFormat="1" ht="12">
      <c r="A49" s="85" t="str">
        <f aca="true" t="shared" si="4" ref="A49:A60">A83</f>
        <v>Jan</v>
      </c>
      <c r="B49" s="57">
        <f>'INPUT 1 - 2013 MATERIAL USAGE'!B10*'% PRODUCTION'!F12</f>
        <v>306.98628662581376</v>
      </c>
      <c r="C49" s="19">
        <v>3.12</v>
      </c>
      <c r="D49" s="57">
        <f aca="true" t="shared" si="5" ref="D49:D60">B49*9.013</f>
        <v>2766.8674013584596</v>
      </c>
      <c r="E49" s="19">
        <f aca="true" t="shared" si="6" ref="E49:E60">B49*C49</f>
        <v>957.797214272539</v>
      </c>
      <c r="F49" s="59">
        <v>0.36</v>
      </c>
      <c r="G49" s="66">
        <f>F49*E49</f>
        <v>344.806997138114</v>
      </c>
      <c r="H49" s="60">
        <f aca="true" t="shared" si="7" ref="H49:H60">G49/2000</f>
        <v>0.172403498569057</v>
      </c>
      <c r="I49" s="7"/>
      <c r="J49" s="2"/>
      <c r="N49" s="2"/>
    </row>
    <row r="50" spans="1:14" s="28" customFormat="1" ht="12">
      <c r="A50" s="85" t="str">
        <f t="shared" si="4"/>
        <v>Feb</v>
      </c>
      <c r="B50" s="57">
        <f>'INPUT 1 - 2013 MATERIAL USAGE'!C10*'% PRODUCTION'!F12</f>
        <v>115.11985748468017</v>
      </c>
      <c r="C50" s="19">
        <v>3.12</v>
      </c>
      <c r="D50" s="57">
        <f t="shared" si="5"/>
        <v>1037.5752755094222</v>
      </c>
      <c r="E50" s="19">
        <f t="shared" si="6"/>
        <v>359.17395535220214</v>
      </c>
      <c r="F50" s="59">
        <v>0.36</v>
      </c>
      <c r="G50" s="66">
        <f aca="true" t="shared" si="8" ref="G50:G60">F50*E50</f>
        <v>129.30262392679276</v>
      </c>
      <c r="H50" s="60">
        <f t="shared" si="7"/>
        <v>0.06465131196339638</v>
      </c>
      <c r="I50" s="26"/>
      <c r="J50" s="27"/>
      <c r="N50" s="27"/>
    </row>
    <row r="51" spans="1:14" s="4" customFormat="1" ht="12">
      <c r="A51" s="85" t="str">
        <f t="shared" si="4"/>
        <v>Mar</v>
      </c>
      <c r="B51" s="57">
        <f>'INPUT 1 - 2013 MATERIAL USAGE'!D10*'% PRODUCTION'!F12</f>
        <v>268.61300079758706</v>
      </c>
      <c r="C51" s="19">
        <v>3.12</v>
      </c>
      <c r="D51" s="57">
        <f t="shared" si="5"/>
        <v>2421.008976188652</v>
      </c>
      <c r="E51" s="19">
        <f t="shared" si="6"/>
        <v>838.0725624884717</v>
      </c>
      <c r="F51" s="59">
        <v>0.36</v>
      </c>
      <c r="G51" s="66">
        <f t="shared" si="8"/>
        <v>301.7061224958498</v>
      </c>
      <c r="H51" s="60">
        <f t="shared" si="7"/>
        <v>0.15085306124792489</v>
      </c>
      <c r="I51" s="7"/>
      <c r="J51" s="2"/>
      <c r="N51" s="2"/>
    </row>
    <row r="52" spans="1:14" s="4" customFormat="1" ht="12">
      <c r="A52" s="85" t="str">
        <f t="shared" si="4"/>
        <v>Apr</v>
      </c>
      <c r="B52" s="57">
        <f>'INPUT 1 - 2013 MATERIAL USAGE'!E10*'% PRODUCTION'!F12</f>
        <v>230.23971496936034</v>
      </c>
      <c r="C52" s="19">
        <v>3.12</v>
      </c>
      <c r="D52" s="57">
        <f t="shared" si="5"/>
        <v>2075.1505510188445</v>
      </c>
      <c r="E52" s="19">
        <f t="shared" si="6"/>
        <v>718.3479107044043</v>
      </c>
      <c r="F52" s="59">
        <v>0.36</v>
      </c>
      <c r="G52" s="66">
        <f t="shared" si="8"/>
        <v>258.6052478535855</v>
      </c>
      <c r="H52" s="60">
        <f t="shared" si="7"/>
        <v>0.12930262392679276</v>
      </c>
      <c r="I52" s="7"/>
      <c r="J52" s="2"/>
      <c r="N52" s="2"/>
    </row>
    <row r="53" spans="1:14" s="4" customFormat="1" ht="12">
      <c r="A53" s="85" t="str">
        <f t="shared" si="4"/>
        <v>May</v>
      </c>
      <c r="B53" s="57">
        <f>'INPUT 1 - 2013 MATERIAL USAGE'!F10*'% PRODUCTION'!F12</f>
        <v>191.8664291411336</v>
      </c>
      <c r="C53" s="19">
        <v>3.12</v>
      </c>
      <c r="D53" s="57">
        <f t="shared" si="5"/>
        <v>1729.2921258490371</v>
      </c>
      <c r="E53" s="19">
        <f t="shared" si="6"/>
        <v>598.6232589203369</v>
      </c>
      <c r="F53" s="59">
        <v>0.36</v>
      </c>
      <c r="G53" s="66">
        <f t="shared" si="8"/>
        <v>215.50437321132125</v>
      </c>
      <c r="H53" s="60">
        <f t="shared" si="7"/>
        <v>0.10775218660566063</v>
      </c>
      <c r="I53" s="7"/>
      <c r="J53" s="2"/>
      <c r="N53" s="2"/>
    </row>
    <row r="54" spans="1:14" s="4" customFormat="1" ht="12">
      <c r="A54" s="85" t="str">
        <f t="shared" si="4"/>
        <v>Jun</v>
      </c>
      <c r="B54" s="57">
        <f>'INPUT 1 - 2013 MATERIAL USAGE'!G10*'% PRODUCTION'!F12</f>
        <v>191.8664291411336</v>
      </c>
      <c r="C54" s="19">
        <v>3.12</v>
      </c>
      <c r="D54" s="57">
        <f t="shared" si="5"/>
        <v>1729.2921258490371</v>
      </c>
      <c r="E54" s="19">
        <f t="shared" si="6"/>
        <v>598.6232589203369</v>
      </c>
      <c r="F54" s="59">
        <v>0.36</v>
      </c>
      <c r="G54" s="66">
        <f t="shared" si="8"/>
        <v>215.50437321132125</v>
      </c>
      <c r="H54" s="60">
        <f t="shared" si="7"/>
        <v>0.10775218660566063</v>
      </c>
      <c r="I54" s="7"/>
      <c r="J54" s="2"/>
      <c r="N54" s="2"/>
    </row>
    <row r="55" spans="1:14" s="4" customFormat="1" ht="12">
      <c r="A55" s="85" t="str">
        <f t="shared" si="4"/>
        <v>Jul</v>
      </c>
      <c r="B55" s="57">
        <f>'INPUT 1 - 2013 MATERIAL USAGE'!H10*'% PRODUCTION'!$F$12</f>
        <v>191.8664291411336</v>
      </c>
      <c r="C55" s="19">
        <v>3.12</v>
      </c>
      <c r="D55" s="57">
        <f t="shared" si="5"/>
        <v>1729.2921258490371</v>
      </c>
      <c r="E55" s="19">
        <f t="shared" si="6"/>
        <v>598.6232589203369</v>
      </c>
      <c r="F55" s="59">
        <v>0.36</v>
      </c>
      <c r="G55" s="66">
        <f t="shared" si="8"/>
        <v>215.50437321132125</v>
      </c>
      <c r="H55" s="60">
        <f t="shared" si="7"/>
        <v>0.10775218660566063</v>
      </c>
      <c r="I55" s="7"/>
      <c r="J55" s="2"/>
      <c r="N55" s="2"/>
    </row>
    <row r="56" spans="1:14" s="4" customFormat="1" ht="12">
      <c r="A56" s="85" t="str">
        <f t="shared" si="4"/>
        <v>Aug</v>
      </c>
      <c r="B56" s="57">
        <f>'INPUT 1 - 2013 MATERIAL USAGE'!I10*'% PRODUCTION'!$F$12</f>
        <v>0</v>
      </c>
      <c r="C56" s="19">
        <v>3.12</v>
      </c>
      <c r="D56" s="57">
        <f t="shared" si="5"/>
        <v>0</v>
      </c>
      <c r="E56" s="19">
        <f t="shared" si="6"/>
        <v>0</v>
      </c>
      <c r="F56" s="59">
        <v>0.36</v>
      </c>
      <c r="G56" s="66">
        <f t="shared" si="8"/>
        <v>0</v>
      </c>
      <c r="H56" s="60">
        <f t="shared" si="7"/>
        <v>0</v>
      </c>
      <c r="I56" s="7"/>
      <c r="J56" s="2"/>
      <c r="N56" s="2"/>
    </row>
    <row r="57" spans="1:14" s="4" customFormat="1" ht="12">
      <c r="A57" s="85" t="str">
        <f t="shared" si="4"/>
        <v>Sep</v>
      </c>
      <c r="B57" s="57">
        <f>'INPUT 1 - 2013 MATERIAL USAGE'!J10*'% PRODUCTION'!$F$12</f>
        <v>0</v>
      </c>
      <c r="C57" s="19">
        <v>3.12</v>
      </c>
      <c r="D57" s="57">
        <f t="shared" si="5"/>
        <v>0</v>
      </c>
      <c r="E57" s="19">
        <f t="shared" si="6"/>
        <v>0</v>
      </c>
      <c r="F57" s="59">
        <v>0.36</v>
      </c>
      <c r="G57" s="66">
        <f t="shared" si="8"/>
        <v>0</v>
      </c>
      <c r="H57" s="60">
        <f t="shared" si="7"/>
        <v>0</v>
      </c>
      <c r="I57" s="7"/>
      <c r="J57" s="2"/>
      <c r="N57" s="2"/>
    </row>
    <row r="58" spans="1:14" s="4" customFormat="1" ht="12">
      <c r="A58" s="85" t="str">
        <f t="shared" si="4"/>
        <v>Oct</v>
      </c>
      <c r="B58" s="57">
        <f>'INPUT 1 - 2013 MATERIAL USAGE'!K10*'% PRODUCTION'!$F$12</f>
        <v>0</v>
      </c>
      <c r="C58" s="19">
        <v>3.12</v>
      </c>
      <c r="D58" s="57">
        <f t="shared" si="5"/>
        <v>0</v>
      </c>
      <c r="E58" s="19">
        <f t="shared" si="6"/>
        <v>0</v>
      </c>
      <c r="F58" s="59">
        <v>0.36</v>
      </c>
      <c r="G58" s="66">
        <f t="shared" si="8"/>
        <v>0</v>
      </c>
      <c r="H58" s="60">
        <f t="shared" si="7"/>
        <v>0</v>
      </c>
      <c r="I58" s="7"/>
      <c r="J58" s="2"/>
      <c r="N58" s="2"/>
    </row>
    <row r="59" spans="1:14" s="4" customFormat="1" ht="12">
      <c r="A59" s="85" t="str">
        <f t="shared" si="4"/>
        <v>Nov</v>
      </c>
      <c r="B59" s="57">
        <f>'INPUT 1 - 2013 MATERIAL USAGE'!L10*'% PRODUCTION'!$F$12</f>
        <v>0</v>
      </c>
      <c r="C59" s="19">
        <v>3.12</v>
      </c>
      <c r="D59" s="57">
        <f t="shared" si="5"/>
        <v>0</v>
      </c>
      <c r="E59" s="19">
        <f t="shared" si="6"/>
        <v>0</v>
      </c>
      <c r="F59" s="59">
        <v>0.36</v>
      </c>
      <c r="G59" s="66">
        <f t="shared" si="8"/>
        <v>0</v>
      </c>
      <c r="H59" s="60">
        <f t="shared" si="7"/>
        <v>0</v>
      </c>
      <c r="I59" s="7"/>
      <c r="J59" s="2"/>
      <c r="N59" s="2"/>
    </row>
    <row r="60" spans="1:14" s="4" customFormat="1" ht="12.75" thickBot="1">
      <c r="A60" s="85" t="str">
        <f t="shared" si="4"/>
        <v>Dec</v>
      </c>
      <c r="B60" s="57">
        <f>'INPUT 1 - 2013 MATERIAL USAGE'!M10*'% PRODUCTION'!$F$12</f>
        <v>0</v>
      </c>
      <c r="C60" s="19">
        <v>3.12</v>
      </c>
      <c r="D60" s="57">
        <f t="shared" si="5"/>
        <v>0</v>
      </c>
      <c r="E60" s="19">
        <f t="shared" si="6"/>
        <v>0</v>
      </c>
      <c r="F60" s="59">
        <v>0.36</v>
      </c>
      <c r="G60" s="66">
        <f t="shared" si="8"/>
        <v>0</v>
      </c>
      <c r="H60" s="60">
        <f t="shared" si="7"/>
        <v>0</v>
      </c>
      <c r="I60" s="7"/>
      <c r="J60" s="2"/>
      <c r="N60" s="2"/>
    </row>
    <row r="61" spans="1:14" s="4" customFormat="1" ht="13.5" thickBot="1" thickTop="1">
      <c r="A61" s="61" t="s">
        <v>11</v>
      </c>
      <c r="B61" s="70">
        <f>SUM(B49:B60)</f>
        <v>1496.5581473008424</v>
      </c>
      <c r="C61" s="70"/>
      <c r="D61" s="70">
        <f>SUM(D49:D60)</f>
        <v>13488.478581622488</v>
      </c>
      <c r="E61" s="70">
        <f>SUM(E49:E60)</f>
        <v>4669.261419578628</v>
      </c>
      <c r="F61" s="70"/>
      <c r="G61" s="70">
        <f>SUM(G49:G60)</f>
        <v>1680.934111048306</v>
      </c>
      <c r="H61" s="71">
        <f>SUM(H49:H60)</f>
        <v>0.840467055524153</v>
      </c>
      <c r="I61" s="7"/>
      <c r="J61" s="2"/>
      <c r="N61" s="2"/>
    </row>
    <row r="62" spans="1:14" s="4" customFormat="1" ht="12.75" thickBot="1">
      <c r="A62" s="29"/>
      <c r="B62" s="51"/>
      <c r="C62" s="51"/>
      <c r="D62" s="51"/>
      <c r="E62" s="51"/>
      <c r="F62" s="51"/>
      <c r="G62" s="51"/>
      <c r="H62" s="51"/>
      <c r="I62" s="7"/>
      <c r="J62" s="2"/>
      <c r="N62" s="2"/>
    </row>
    <row r="63" spans="1:14" s="4" customFormat="1" ht="12.75" thickBot="1">
      <c r="A63" s="439" t="s">
        <v>180</v>
      </c>
      <c r="B63" s="440"/>
      <c r="C63" s="440"/>
      <c r="D63" s="440"/>
      <c r="E63" s="440"/>
      <c r="F63" s="440"/>
      <c r="G63" s="440"/>
      <c r="H63" s="441"/>
      <c r="I63" s="7"/>
      <c r="J63" s="2"/>
      <c r="N63" s="2"/>
    </row>
    <row r="64" spans="1:14" s="4" customFormat="1" ht="24.75" thickBot="1">
      <c r="A64" s="15" t="s">
        <v>6</v>
      </c>
      <c r="B64" s="16" t="s">
        <v>7</v>
      </c>
      <c r="C64" s="16" t="s">
        <v>8</v>
      </c>
      <c r="D64" s="16" t="s">
        <v>9</v>
      </c>
      <c r="E64" s="17" t="s">
        <v>10</v>
      </c>
      <c r="F64" s="17" t="s">
        <v>3</v>
      </c>
      <c r="G64" s="199" t="s">
        <v>4</v>
      </c>
      <c r="H64" s="17" t="s">
        <v>5</v>
      </c>
      <c r="I64" s="7"/>
      <c r="J64" s="2"/>
      <c r="N64" s="2"/>
    </row>
    <row r="65" spans="1:14" s="4" customFormat="1" ht="12.75" thickBot="1">
      <c r="A65" s="392" t="s">
        <v>55</v>
      </c>
      <c r="B65" s="395"/>
      <c r="C65" s="395"/>
      <c r="D65" s="395"/>
      <c r="E65" s="395"/>
      <c r="F65" s="395"/>
      <c r="G65" s="395"/>
      <c r="H65" s="396"/>
      <c r="I65" s="7"/>
      <c r="J65" s="2"/>
      <c r="N65" s="2"/>
    </row>
    <row r="66" spans="1:14" s="4" customFormat="1" ht="12">
      <c r="A66" s="85" t="str">
        <f>A49</f>
        <v>Jan</v>
      </c>
      <c r="B66" s="57">
        <f>'INPUT 1 - 2013 MATERIAL USAGE'!B10*'% PRODUCTION'!F13</f>
        <v>133.0137133741862</v>
      </c>
      <c r="C66" s="19">
        <v>3.12</v>
      </c>
      <c r="D66" s="57">
        <f aca="true" t="shared" si="9" ref="D66:D77">B66*9.013</f>
        <v>1198.8525986415402</v>
      </c>
      <c r="E66" s="19">
        <f aca="true" t="shared" si="10" ref="E66:E77">B66*C66</f>
        <v>415.002785727461</v>
      </c>
      <c r="F66" s="59">
        <f>F49</f>
        <v>0.36</v>
      </c>
      <c r="G66" s="66">
        <f>F66*E66</f>
        <v>149.40100286188596</v>
      </c>
      <c r="H66" s="60">
        <f aca="true" t="shared" si="11" ref="H66:H77">G66/2000</f>
        <v>0.07470050143094298</v>
      </c>
      <c r="I66" s="7"/>
      <c r="J66" s="2"/>
      <c r="N66" s="2"/>
    </row>
    <row r="67" spans="1:14" s="4" customFormat="1" ht="12">
      <c r="A67" s="85" t="str">
        <f aca="true" t="shared" si="12" ref="A67:A77">A50</f>
        <v>Feb</v>
      </c>
      <c r="B67" s="57">
        <f>'INPUT 1 - 2013 MATERIAL USAGE'!C10*'% PRODUCTION'!F13</f>
        <v>49.88014251531983</v>
      </c>
      <c r="C67" s="19">
        <v>3.12</v>
      </c>
      <c r="D67" s="57">
        <f>B67*9.013</f>
        <v>449.56972449057764</v>
      </c>
      <c r="E67" s="19">
        <f t="shared" si="10"/>
        <v>155.62604464779787</v>
      </c>
      <c r="F67" s="59">
        <f aca="true" t="shared" si="13" ref="F67:F77">F50</f>
        <v>0.36</v>
      </c>
      <c r="G67" s="66">
        <f aca="true" t="shared" si="14" ref="G67:G77">F67*E67</f>
        <v>56.025376073207234</v>
      </c>
      <c r="H67" s="60">
        <f t="shared" si="11"/>
        <v>0.028012688036603617</v>
      </c>
      <c r="I67" s="7"/>
      <c r="J67" s="2"/>
      <c r="N67" s="2"/>
    </row>
    <row r="68" spans="1:14" s="4" customFormat="1" ht="12">
      <c r="A68" s="85" t="str">
        <f t="shared" si="12"/>
        <v>Mar</v>
      </c>
      <c r="B68" s="57">
        <f>'INPUT 1 - 2013 MATERIAL USAGE'!D10*'% PRODUCTION'!F13</f>
        <v>116.38699920241294</v>
      </c>
      <c r="C68" s="19">
        <v>3.12</v>
      </c>
      <c r="D68" s="57">
        <f t="shared" si="9"/>
        <v>1048.9960238113479</v>
      </c>
      <c r="E68" s="19">
        <f t="shared" si="10"/>
        <v>363.1274375115284</v>
      </c>
      <c r="F68" s="59">
        <f t="shared" si="13"/>
        <v>0.36</v>
      </c>
      <c r="G68" s="66">
        <f t="shared" si="14"/>
        <v>130.72587750415022</v>
      </c>
      <c r="H68" s="60">
        <f t="shared" si="11"/>
        <v>0.0653629387520751</v>
      </c>
      <c r="I68" s="7"/>
      <c r="J68" s="2"/>
      <c r="N68" s="2"/>
    </row>
    <row r="69" spans="1:14" s="4" customFormat="1" ht="12">
      <c r="A69" s="85" t="str">
        <f t="shared" si="12"/>
        <v>Apr</v>
      </c>
      <c r="B69" s="57">
        <f>'INPUT 1 - 2013 MATERIAL USAGE'!E10*'% PRODUCTION'!F13</f>
        <v>99.76028503063966</v>
      </c>
      <c r="C69" s="19">
        <v>3.12</v>
      </c>
      <c r="D69" s="57">
        <f t="shared" si="9"/>
        <v>899.1394489811553</v>
      </c>
      <c r="E69" s="19">
        <f t="shared" si="10"/>
        <v>311.25208929559574</v>
      </c>
      <c r="F69" s="59">
        <f t="shared" si="13"/>
        <v>0.36</v>
      </c>
      <c r="G69" s="66">
        <f t="shared" si="14"/>
        <v>112.05075214641447</v>
      </c>
      <c r="H69" s="60">
        <f t="shared" si="11"/>
        <v>0.056025376073207234</v>
      </c>
      <c r="I69" s="7"/>
      <c r="J69" s="2"/>
      <c r="N69" s="2"/>
    </row>
    <row r="70" spans="1:14" s="28" customFormat="1" ht="12">
      <c r="A70" s="85" t="str">
        <f t="shared" si="12"/>
        <v>May</v>
      </c>
      <c r="B70" s="57">
        <f>'INPUT 1 - 2013 MATERIAL USAGE'!F10*'% PRODUCTION'!F13</f>
        <v>83.13357085886638</v>
      </c>
      <c r="C70" s="19">
        <v>3.12</v>
      </c>
      <c r="D70" s="57">
        <f t="shared" si="9"/>
        <v>749.2828741509627</v>
      </c>
      <c r="E70" s="19">
        <f t="shared" si="10"/>
        <v>259.37674107966313</v>
      </c>
      <c r="F70" s="59">
        <f t="shared" si="13"/>
        <v>0.36</v>
      </c>
      <c r="G70" s="66">
        <f t="shared" si="14"/>
        <v>93.37562678867873</v>
      </c>
      <c r="H70" s="60">
        <f t="shared" si="11"/>
        <v>0.04668781339433937</v>
      </c>
      <c r="I70" s="26"/>
      <c r="J70" s="27"/>
      <c r="N70" s="27"/>
    </row>
    <row r="71" spans="1:14" s="4" customFormat="1" ht="12">
      <c r="A71" s="85" t="str">
        <f t="shared" si="12"/>
        <v>Jun</v>
      </c>
      <c r="B71" s="57">
        <f>'INPUT 1 - 2013 MATERIAL USAGE'!G10*'% PRODUCTION'!F13</f>
        <v>83.13357085886638</v>
      </c>
      <c r="C71" s="19">
        <v>3.12</v>
      </c>
      <c r="D71" s="57">
        <f t="shared" si="9"/>
        <v>749.2828741509627</v>
      </c>
      <c r="E71" s="19">
        <f t="shared" si="10"/>
        <v>259.37674107966313</v>
      </c>
      <c r="F71" s="59">
        <f t="shared" si="13"/>
        <v>0.36</v>
      </c>
      <c r="G71" s="66">
        <f t="shared" si="14"/>
        <v>93.37562678867873</v>
      </c>
      <c r="H71" s="60">
        <f t="shared" si="11"/>
        <v>0.04668781339433937</v>
      </c>
      <c r="I71" s="7"/>
      <c r="J71" s="2"/>
      <c r="N71" s="2"/>
    </row>
    <row r="72" spans="1:14" s="4" customFormat="1" ht="12.75" thickBot="1">
      <c r="A72" s="85" t="str">
        <f t="shared" si="12"/>
        <v>Jul</v>
      </c>
      <c r="B72" s="57">
        <f>'INPUT 1 - 2013 MATERIAL USAGE'!H10*'% PRODUCTION'!$F$13</f>
        <v>83.13357085886638</v>
      </c>
      <c r="C72" s="19">
        <v>3.12</v>
      </c>
      <c r="D72" s="57">
        <f t="shared" si="9"/>
        <v>749.2828741509627</v>
      </c>
      <c r="E72" s="19">
        <f t="shared" si="10"/>
        <v>259.37674107966313</v>
      </c>
      <c r="F72" s="59">
        <f t="shared" si="13"/>
        <v>0.36</v>
      </c>
      <c r="G72" s="66">
        <f t="shared" si="14"/>
        <v>93.37562678867873</v>
      </c>
      <c r="H72" s="60">
        <f t="shared" si="11"/>
        <v>0.04668781339433937</v>
      </c>
      <c r="I72" s="7"/>
      <c r="J72" s="2"/>
      <c r="N72" s="2"/>
    </row>
    <row r="73" spans="1:14" s="4" customFormat="1" ht="15" customHeight="1" thickBot="1" thickTop="1">
      <c r="A73" s="85" t="str">
        <f t="shared" si="12"/>
        <v>Aug</v>
      </c>
      <c r="B73" s="57">
        <f>'INPUT 1 - 2013 MATERIAL USAGE'!I10*'% PRODUCTION'!$F$13</f>
        <v>0</v>
      </c>
      <c r="C73" s="19">
        <v>3.12</v>
      </c>
      <c r="D73" s="57">
        <f t="shared" si="9"/>
        <v>0</v>
      </c>
      <c r="E73" s="19">
        <f t="shared" si="10"/>
        <v>0</v>
      </c>
      <c r="F73" s="59">
        <f t="shared" si="13"/>
        <v>0.36</v>
      </c>
      <c r="G73" s="66">
        <f t="shared" si="14"/>
        <v>0</v>
      </c>
      <c r="H73" s="60">
        <f t="shared" si="11"/>
        <v>0</v>
      </c>
      <c r="I73" s="20"/>
      <c r="J73" s="20"/>
      <c r="K73" s="20"/>
      <c r="L73" s="9"/>
      <c r="N73" s="2"/>
    </row>
    <row r="74" spans="1:14" s="4" customFormat="1" ht="14.25" customHeight="1" thickBot="1" thickTop="1">
      <c r="A74" s="85" t="str">
        <f t="shared" si="12"/>
        <v>Sep</v>
      </c>
      <c r="B74" s="57">
        <f>'INPUT 1 - 2013 MATERIAL USAGE'!J10*'% PRODUCTION'!$F$13</f>
        <v>0</v>
      </c>
      <c r="C74" s="19">
        <v>3.12</v>
      </c>
      <c r="D74" s="57">
        <f t="shared" si="9"/>
        <v>0</v>
      </c>
      <c r="E74" s="19">
        <f t="shared" si="10"/>
        <v>0</v>
      </c>
      <c r="F74" s="59">
        <f t="shared" si="13"/>
        <v>0.36</v>
      </c>
      <c r="G74" s="66">
        <f t="shared" si="14"/>
        <v>0</v>
      </c>
      <c r="H74" s="60">
        <f t="shared" si="11"/>
        <v>0</v>
      </c>
      <c r="I74" s="20"/>
      <c r="J74" s="20"/>
      <c r="K74" s="20"/>
      <c r="L74" s="52"/>
      <c r="N74" s="2"/>
    </row>
    <row r="75" spans="1:14" s="4" customFormat="1" ht="14.25" customHeight="1" thickTop="1">
      <c r="A75" s="85" t="str">
        <f t="shared" si="12"/>
        <v>Oct</v>
      </c>
      <c r="B75" s="57">
        <f>'INPUT 1 - 2013 MATERIAL USAGE'!K10*'% PRODUCTION'!$F$13</f>
        <v>0</v>
      </c>
      <c r="C75" s="19">
        <v>3.12</v>
      </c>
      <c r="D75" s="57">
        <f t="shared" si="9"/>
        <v>0</v>
      </c>
      <c r="E75" s="19">
        <f t="shared" si="10"/>
        <v>0</v>
      </c>
      <c r="F75" s="59">
        <f t="shared" si="13"/>
        <v>0.36</v>
      </c>
      <c r="G75" s="66">
        <f t="shared" si="14"/>
        <v>0</v>
      </c>
      <c r="H75" s="60">
        <f t="shared" si="11"/>
        <v>0</v>
      </c>
      <c r="I75" s="20"/>
      <c r="J75" s="20"/>
      <c r="K75" s="20"/>
      <c r="L75" s="52"/>
      <c r="N75" s="2"/>
    </row>
    <row r="76" spans="1:14" s="32" customFormat="1" ht="15" customHeight="1">
      <c r="A76" s="85" t="str">
        <f t="shared" si="12"/>
        <v>Nov</v>
      </c>
      <c r="B76" s="57">
        <f>'INPUT 1 - 2013 MATERIAL USAGE'!L10*'% PRODUCTION'!$F$13</f>
        <v>0</v>
      </c>
      <c r="C76" s="19">
        <v>3.12</v>
      </c>
      <c r="D76" s="57">
        <f t="shared" si="9"/>
        <v>0</v>
      </c>
      <c r="E76" s="19">
        <f t="shared" si="10"/>
        <v>0</v>
      </c>
      <c r="F76" s="59">
        <f t="shared" si="13"/>
        <v>0.36</v>
      </c>
      <c r="G76" s="66">
        <f t="shared" si="14"/>
        <v>0</v>
      </c>
      <c r="H76" s="60">
        <f t="shared" si="11"/>
        <v>0</v>
      </c>
      <c r="N76" s="2"/>
    </row>
    <row r="77" spans="1:14" s="4" customFormat="1" ht="13.5" thickBot="1">
      <c r="A77" s="85" t="str">
        <f t="shared" si="12"/>
        <v>Dec</v>
      </c>
      <c r="B77" s="57">
        <f>'INPUT 1 - 2013 MATERIAL USAGE'!M10*'% PRODUCTION'!$F$13</f>
        <v>0</v>
      </c>
      <c r="C77" s="19">
        <v>3.12</v>
      </c>
      <c r="D77" s="57">
        <f t="shared" si="9"/>
        <v>0</v>
      </c>
      <c r="E77" s="19">
        <f t="shared" si="10"/>
        <v>0</v>
      </c>
      <c r="F77" s="59">
        <f t="shared" si="13"/>
        <v>0.36</v>
      </c>
      <c r="G77" s="66">
        <f t="shared" si="14"/>
        <v>0</v>
      </c>
      <c r="H77" s="60">
        <f t="shared" si="11"/>
        <v>0</v>
      </c>
      <c r="I77"/>
      <c r="J77"/>
      <c r="K77"/>
      <c r="L77"/>
      <c r="N77" s="2"/>
    </row>
    <row r="78" spans="1:14" s="4" customFormat="1" ht="14.25" thickBot="1" thickTop="1">
      <c r="A78" s="61" t="s">
        <v>11</v>
      </c>
      <c r="B78" s="70">
        <f>SUM(B66:B77)</f>
        <v>648.4418526991578</v>
      </c>
      <c r="C78" s="70"/>
      <c r="D78" s="70">
        <f>SUM(D66:D77)</f>
        <v>5844.40641837751</v>
      </c>
      <c r="E78" s="70">
        <f>SUM(E66:E77)</f>
        <v>2023.1385804213724</v>
      </c>
      <c r="F78" s="70"/>
      <c r="G78" s="70">
        <f>SUM(G66:G77)</f>
        <v>728.329888951694</v>
      </c>
      <c r="H78" s="71">
        <f>SUM(H66:H77)</f>
        <v>0.364164944475847</v>
      </c>
      <c r="I78"/>
      <c r="J78"/>
      <c r="K78"/>
      <c r="L78"/>
      <c r="N78" s="2"/>
    </row>
    <row r="79" spans="1:14" s="4" customFormat="1" ht="18" customHeight="1" thickBot="1">
      <c r="A79" s="29"/>
      <c r="B79" s="51"/>
      <c r="C79" s="51"/>
      <c r="D79" s="51"/>
      <c r="E79" s="51"/>
      <c r="F79" s="51"/>
      <c r="G79" s="51"/>
      <c r="H79" s="51"/>
      <c r="I79"/>
      <c r="J79"/>
      <c r="K79"/>
      <c r="L79"/>
      <c r="N79" s="2"/>
    </row>
    <row r="80" spans="1:8" ht="13.5" thickBot="1">
      <c r="A80" s="439" t="s">
        <v>218</v>
      </c>
      <c r="B80" s="440"/>
      <c r="C80" s="440"/>
      <c r="D80" s="440"/>
      <c r="E80" s="440"/>
      <c r="F80" s="440"/>
      <c r="G80" s="440"/>
      <c r="H80" s="441"/>
    </row>
    <row r="81" spans="1:14" s="4" customFormat="1" ht="24.75" thickBot="1">
      <c r="A81" s="15" t="s">
        <v>6</v>
      </c>
      <c r="B81" s="16" t="s">
        <v>7</v>
      </c>
      <c r="C81" s="16" t="s">
        <v>8</v>
      </c>
      <c r="D81" s="16" t="s">
        <v>9</v>
      </c>
      <c r="E81" s="17" t="s">
        <v>10</v>
      </c>
      <c r="F81" s="17" t="s">
        <v>3</v>
      </c>
      <c r="G81" s="199" t="s">
        <v>4</v>
      </c>
      <c r="H81" s="17" t="s">
        <v>5</v>
      </c>
      <c r="I81" s="7"/>
      <c r="J81" s="2"/>
      <c r="N81" s="2"/>
    </row>
    <row r="82" spans="1:14" s="4" customFormat="1" ht="14.25" customHeight="1" thickBot="1">
      <c r="A82" s="392" t="s">
        <v>224</v>
      </c>
      <c r="B82" s="395"/>
      <c r="C82" s="395"/>
      <c r="D82" s="395"/>
      <c r="E82" s="395"/>
      <c r="F82" s="395"/>
      <c r="G82" s="395"/>
      <c r="H82" s="396"/>
      <c r="I82" s="7"/>
      <c r="J82" s="2"/>
      <c r="N82" s="2"/>
    </row>
    <row r="83" spans="1:14" s="4" customFormat="1" ht="12.75" customHeight="1">
      <c r="A83" s="85" t="s">
        <v>136</v>
      </c>
      <c r="B83" s="57">
        <f>'INPUT 1 - 2013 MATERIAL USAGE'!B12*'% PRODUCTION'!F7</f>
        <v>0</v>
      </c>
      <c r="C83" s="19">
        <v>2.48</v>
      </c>
      <c r="D83" s="57">
        <f>B83*8.8404</f>
        <v>0</v>
      </c>
      <c r="E83" s="19">
        <f aca="true" t="shared" si="15" ref="E83:E94">B83*C83</f>
        <v>0</v>
      </c>
      <c r="F83" s="286">
        <v>0.335</v>
      </c>
      <c r="G83" s="66">
        <f>F83*E83</f>
        <v>0</v>
      </c>
      <c r="H83" s="60">
        <f aca="true" t="shared" si="16" ref="H83:H94">G83/2000</f>
        <v>0</v>
      </c>
      <c r="I83" s="7"/>
      <c r="J83" s="2"/>
      <c r="N83" s="2"/>
    </row>
    <row r="84" spans="1:14" s="4" customFormat="1" ht="12" customHeight="1">
      <c r="A84" s="85" t="s">
        <v>149</v>
      </c>
      <c r="B84" s="57">
        <f>'INPUT 1 - 2013 MATERIAL USAGE'!C12*'% PRODUCTION'!F7</f>
        <v>0</v>
      </c>
      <c r="C84" s="19">
        <v>2.48</v>
      </c>
      <c r="D84" s="57">
        <f aca="true" t="shared" si="17" ref="D84:D94">B84*8.8404</f>
        <v>0</v>
      </c>
      <c r="E84" s="19">
        <f t="shared" si="15"/>
        <v>0</v>
      </c>
      <c r="F84" s="286">
        <f>F83</f>
        <v>0.335</v>
      </c>
      <c r="G84" s="66">
        <f aca="true" t="shared" si="18" ref="G84:G94">F84*E84</f>
        <v>0</v>
      </c>
      <c r="H84" s="60">
        <f t="shared" si="16"/>
        <v>0</v>
      </c>
      <c r="I84" s="7"/>
      <c r="J84" s="2"/>
      <c r="N84" s="2"/>
    </row>
    <row r="85" spans="1:14" s="4" customFormat="1" ht="12">
      <c r="A85" s="85" t="s">
        <v>150</v>
      </c>
      <c r="B85" s="57">
        <f>'INPUT 1 - 2013 MATERIAL USAGE'!D12*'% PRODUCTION'!F7</f>
        <v>0</v>
      </c>
      <c r="C85" s="19">
        <v>2.48</v>
      </c>
      <c r="D85" s="57">
        <f t="shared" si="17"/>
        <v>0</v>
      </c>
      <c r="E85" s="19">
        <f t="shared" si="15"/>
        <v>0</v>
      </c>
      <c r="F85" s="286">
        <f aca="true" t="shared" si="19" ref="F85:F94">F84</f>
        <v>0.335</v>
      </c>
      <c r="G85" s="66">
        <f t="shared" si="18"/>
        <v>0</v>
      </c>
      <c r="H85" s="60">
        <f t="shared" si="16"/>
        <v>0</v>
      </c>
      <c r="I85" s="7"/>
      <c r="J85" s="2"/>
      <c r="N85" s="2"/>
    </row>
    <row r="86" spans="1:14" s="4" customFormat="1" ht="12">
      <c r="A86" s="85" t="s">
        <v>140</v>
      </c>
      <c r="B86" s="57">
        <f>'INPUT 1 - 2013 MATERIAL USAGE'!E12*'% PRODUCTION'!F7</f>
        <v>0</v>
      </c>
      <c r="C86" s="19">
        <v>2.48</v>
      </c>
      <c r="D86" s="57">
        <f t="shared" si="17"/>
        <v>0</v>
      </c>
      <c r="E86" s="19">
        <f t="shared" si="15"/>
        <v>0</v>
      </c>
      <c r="F86" s="286">
        <f t="shared" si="19"/>
        <v>0.335</v>
      </c>
      <c r="G86" s="66">
        <f t="shared" si="18"/>
        <v>0</v>
      </c>
      <c r="H86" s="60">
        <f t="shared" si="16"/>
        <v>0</v>
      </c>
      <c r="I86" s="7"/>
      <c r="J86" s="2"/>
      <c r="N86" s="2"/>
    </row>
    <row r="87" spans="1:14" s="4" customFormat="1" ht="12">
      <c r="A87" s="85" t="s">
        <v>141</v>
      </c>
      <c r="B87" s="57">
        <f>'INPUT 1 - 2013 MATERIAL USAGE'!F12*'% PRODUCTION'!F7</f>
        <v>0</v>
      </c>
      <c r="C87" s="19">
        <v>2.48</v>
      </c>
      <c r="D87" s="57">
        <f t="shared" si="17"/>
        <v>0</v>
      </c>
      <c r="E87" s="19">
        <f t="shared" si="15"/>
        <v>0</v>
      </c>
      <c r="F87" s="286">
        <f t="shared" si="19"/>
        <v>0.335</v>
      </c>
      <c r="G87" s="66">
        <f t="shared" si="18"/>
        <v>0</v>
      </c>
      <c r="H87" s="60">
        <f t="shared" si="16"/>
        <v>0</v>
      </c>
      <c r="I87" s="7"/>
      <c r="J87" s="2"/>
      <c r="N87" s="2"/>
    </row>
    <row r="88" spans="1:14" s="4" customFormat="1" ht="12">
      <c r="A88" s="85" t="s">
        <v>151</v>
      </c>
      <c r="B88" s="57">
        <f>'INPUT 1 - 2013 MATERIAL USAGE'!G12*'% PRODUCTION'!F7</f>
        <v>0</v>
      </c>
      <c r="C88" s="19">
        <v>2.48</v>
      </c>
      <c r="D88" s="57">
        <f t="shared" si="17"/>
        <v>0</v>
      </c>
      <c r="E88" s="19">
        <f t="shared" si="15"/>
        <v>0</v>
      </c>
      <c r="F88" s="286">
        <f t="shared" si="19"/>
        <v>0.335</v>
      </c>
      <c r="G88" s="66">
        <f t="shared" si="18"/>
        <v>0</v>
      </c>
      <c r="H88" s="60">
        <f t="shared" si="16"/>
        <v>0</v>
      </c>
      <c r="I88" s="7"/>
      <c r="J88" s="2"/>
      <c r="N88" s="2"/>
    </row>
    <row r="89" spans="1:14" s="4" customFormat="1" ht="12">
      <c r="A89" s="85" t="s">
        <v>152</v>
      </c>
      <c r="B89" s="57">
        <f>'INPUT 1 - 2013 MATERIAL USAGE'!H12*'% PRODUCTION'!$F$7</f>
        <v>0</v>
      </c>
      <c r="C89" s="19">
        <v>2.48</v>
      </c>
      <c r="D89" s="57">
        <f t="shared" si="17"/>
        <v>0</v>
      </c>
      <c r="E89" s="19">
        <f t="shared" si="15"/>
        <v>0</v>
      </c>
      <c r="F89" s="286">
        <f t="shared" si="19"/>
        <v>0.335</v>
      </c>
      <c r="G89" s="66">
        <f t="shared" si="18"/>
        <v>0</v>
      </c>
      <c r="H89" s="60">
        <f t="shared" si="16"/>
        <v>0</v>
      </c>
      <c r="I89" s="7"/>
      <c r="J89" s="2"/>
      <c r="N89" s="2"/>
    </row>
    <row r="90" spans="1:14" s="4" customFormat="1" ht="12">
      <c r="A90" s="85" t="s">
        <v>153</v>
      </c>
      <c r="B90" s="57">
        <f>'INPUT 1 - 2013 MATERIAL USAGE'!I12*'% PRODUCTION'!$F$7</f>
        <v>0</v>
      </c>
      <c r="C90" s="19">
        <v>2.48</v>
      </c>
      <c r="D90" s="57">
        <f t="shared" si="17"/>
        <v>0</v>
      </c>
      <c r="E90" s="19">
        <f t="shared" si="15"/>
        <v>0</v>
      </c>
      <c r="F90" s="286">
        <f t="shared" si="19"/>
        <v>0.335</v>
      </c>
      <c r="G90" s="66">
        <f t="shared" si="18"/>
        <v>0</v>
      </c>
      <c r="H90" s="60">
        <f t="shared" si="16"/>
        <v>0</v>
      </c>
      <c r="I90" s="7"/>
      <c r="J90" s="2"/>
      <c r="N90" s="2"/>
    </row>
    <row r="91" spans="1:14" s="4" customFormat="1" ht="12">
      <c r="A91" s="85" t="s">
        <v>145</v>
      </c>
      <c r="B91" s="57">
        <f>'INPUT 1 - 2013 MATERIAL USAGE'!J12*'% PRODUCTION'!$F$7</f>
        <v>0</v>
      </c>
      <c r="C91" s="19">
        <v>2.48</v>
      </c>
      <c r="D91" s="57">
        <f t="shared" si="17"/>
        <v>0</v>
      </c>
      <c r="E91" s="19">
        <f t="shared" si="15"/>
        <v>0</v>
      </c>
      <c r="F91" s="286">
        <f t="shared" si="19"/>
        <v>0.335</v>
      </c>
      <c r="G91" s="66">
        <f t="shared" si="18"/>
        <v>0</v>
      </c>
      <c r="H91" s="60">
        <f t="shared" si="16"/>
        <v>0</v>
      </c>
      <c r="I91" s="7"/>
      <c r="J91" s="2"/>
      <c r="N91" s="2"/>
    </row>
    <row r="92" spans="1:14" s="4" customFormat="1" ht="12">
      <c r="A92" s="85" t="s">
        <v>146</v>
      </c>
      <c r="B92" s="57">
        <f>'INPUT 1 - 2013 MATERIAL USAGE'!K12*'% PRODUCTION'!$F$7</f>
        <v>0</v>
      </c>
      <c r="C92" s="19">
        <v>2.48</v>
      </c>
      <c r="D92" s="57">
        <f t="shared" si="17"/>
        <v>0</v>
      </c>
      <c r="E92" s="19">
        <f t="shared" si="15"/>
        <v>0</v>
      </c>
      <c r="F92" s="286">
        <f t="shared" si="19"/>
        <v>0.335</v>
      </c>
      <c r="G92" s="66">
        <f t="shared" si="18"/>
        <v>0</v>
      </c>
      <c r="H92" s="60">
        <f t="shared" si="16"/>
        <v>0</v>
      </c>
      <c r="I92" s="7"/>
      <c r="J92" s="2"/>
      <c r="N92" s="2"/>
    </row>
    <row r="93" spans="1:14" s="4" customFormat="1" ht="12">
      <c r="A93" s="85" t="s">
        <v>154</v>
      </c>
      <c r="B93" s="57">
        <f>'INPUT 1 - 2013 MATERIAL USAGE'!L12*'% PRODUCTION'!$F$7</f>
        <v>0</v>
      </c>
      <c r="C93" s="19">
        <v>2.48</v>
      </c>
      <c r="D93" s="57">
        <f t="shared" si="17"/>
        <v>0</v>
      </c>
      <c r="E93" s="19">
        <f t="shared" si="15"/>
        <v>0</v>
      </c>
      <c r="F93" s="286">
        <f t="shared" si="19"/>
        <v>0.335</v>
      </c>
      <c r="G93" s="66">
        <f t="shared" si="18"/>
        <v>0</v>
      </c>
      <c r="H93" s="60">
        <f t="shared" si="16"/>
        <v>0</v>
      </c>
      <c r="I93" s="7"/>
      <c r="J93" s="2"/>
      <c r="N93" s="2"/>
    </row>
    <row r="94" spans="1:14" s="4" customFormat="1" ht="12.75" thickBot="1">
      <c r="A94" s="85" t="s">
        <v>148</v>
      </c>
      <c r="B94" s="57">
        <f>'INPUT 1 - 2013 MATERIAL USAGE'!M12*'% PRODUCTION'!$F$7</f>
        <v>0</v>
      </c>
      <c r="C94" s="19">
        <v>2.48</v>
      </c>
      <c r="D94" s="57">
        <f t="shared" si="17"/>
        <v>0</v>
      </c>
      <c r="E94" s="19">
        <f t="shared" si="15"/>
        <v>0</v>
      </c>
      <c r="F94" s="286">
        <f t="shared" si="19"/>
        <v>0.335</v>
      </c>
      <c r="G94" s="66">
        <f t="shared" si="18"/>
        <v>0</v>
      </c>
      <c r="H94" s="60">
        <f t="shared" si="16"/>
        <v>0</v>
      </c>
      <c r="I94" s="7"/>
      <c r="J94" s="2"/>
      <c r="N94" s="2"/>
    </row>
    <row r="95" spans="1:14" s="4" customFormat="1" ht="13.5" thickBot="1" thickTop="1">
      <c r="A95" s="61" t="s">
        <v>11</v>
      </c>
      <c r="B95" s="70">
        <f>SUM(B83:B94)</f>
        <v>0</v>
      </c>
      <c r="C95" s="70"/>
      <c r="D95" s="70">
        <f>SUM(D83:D94)</f>
        <v>0</v>
      </c>
      <c r="E95" s="70">
        <f>SUM(E83:E94)</f>
        <v>0</v>
      </c>
      <c r="F95" s="70"/>
      <c r="G95" s="70">
        <f>SUM(G83:G94)</f>
        <v>0</v>
      </c>
      <c r="H95" s="71">
        <f>SUM(H83:H94)</f>
        <v>0</v>
      </c>
      <c r="I95" s="7"/>
      <c r="J95" s="2"/>
      <c r="N95" s="2"/>
    </row>
    <row r="96" spans="1:14" s="4" customFormat="1" ht="12.75" thickBot="1">
      <c r="A96" s="29"/>
      <c r="B96" s="51"/>
      <c r="C96" s="51"/>
      <c r="D96" s="51"/>
      <c r="E96" s="51"/>
      <c r="F96" s="51"/>
      <c r="G96" s="51"/>
      <c r="H96" s="51"/>
      <c r="I96" s="7"/>
      <c r="J96" s="2"/>
      <c r="N96" s="2"/>
    </row>
    <row r="97" spans="1:14" s="4" customFormat="1" ht="12.75" thickBot="1">
      <c r="A97" s="439" t="s">
        <v>218</v>
      </c>
      <c r="B97" s="440"/>
      <c r="C97" s="440"/>
      <c r="D97" s="440"/>
      <c r="E97" s="440"/>
      <c r="F97" s="440"/>
      <c r="G97" s="440"/>
      <c r="H97" s="441"/>
      <c r="I97" s="7"/>
      <c r="J97" s="2"/>
      <c r="N97" s="2"/>
    </row>
    <row r="98" spans="1:14" s="4" customFormat="1" ht="24.75" thickBot="1">
      <c r="A98" s="15" t="s">
        <v>6</v>
      </c>
      <c r="B98" s="16" t="s">
        <v>7</v>
      </c>
      <c r="C98" s="16" t="s">
        <v>8</v>
      </c>
      <c r="D98" s="16" t="s">
        <v>9</v>
      </c>
      <c r="E98" s="17" t="s">
        <v>10</v>
      </c>
      <c r="F98" s="17" t="s">
        <v>3</v>
      </c>
      <c r="G98" s="199" t="s">
        <v>4</v>
      </c>
      <c r="H98" s="17" t="s">
        <v>5</v>
      </c>
      <c r="I98" s="7"/>
      <c r="J98" s="2"/>
      <c r="N98" s="2"/>
    </row>
    <row r="99" spans="1:14" s="4" customFormat="1" ht="12.75" thickBot="1">
      <c r="A99" s="392" t="s">
        <v>232</v>
      </c>
      <c r="B99" s="395"/>
      <c r="C99" s="395"/>
      <c r="D99" s="395"/>
      <c r="E99" s="395"/>
      <c r="F99" s="395"/>
      <c r="G99" s="395"/>
      <c r="H99" s="396"/>
      <c r="I99" s="7"/>
      <c r="J99" s="2"/>
      <c r="N99" s="2"/>
    </row>
    <row r="100" spans="1:14" s="4" customFormat="1" ht="12">
      <c r="A100" s="85" t="s">
        <v>136</v>
      </c>
      <c r="B100" s="57">
        <f>'INPUT 1 - 2013 MATERIAL USAGE'!B13</f>
        <v>110</v>
      </c>
      <c r="C100" s="19">
        <v>0.89</v>
      </c>
      <c r="D100" s="57">
        <f>B100*9.08</f>
        <v>998.8</v>
      </c>
      <c r="E100" s="19">
        <f aca="true" t="shared" si="20" ref="E100:E111">B100*C100</f>
        <v>97.9</v>
      </c>
      <c r="F100" s="286">
        <v>0.335</v>
      </c>
      <c r="G100" s="66">
        <f>F100*E100</f>
        <v>32.7965</v>
      </c>
      <c r="H100" s="60">
        <f aca="true" t="shared" si="21" ref="H100:H111">G100/2000</f>
        <v>0.01639825</v>
      </c>
      <c r="I100" s="7"/>
      <c r="J100" s="2"/>
      <c r="N100" s="2"/>
    </row>
    <row r="101" spans="1:14" s="4" customFormat="1" ht="12">
      <c r="A101" s="85" t="s">
        <v>149</v>
      </c>
      <c r="B101" s="57">
        <f>'INPUT 1 - 2013 MATERIAL USAGE'!C13</f>
        <v>110</v>
      </c>
      <c r="C101" s="19">
        <v>0.89</v>
      </c>
      <c r="D101" s="57">
        <f aca="true" t="shared" si="22" ref="D101:D111">B101*9.08</f>
        <v>998.8</v>
      </c>
      <c r="E101" s="19">
        <f t="shared" si="20"/>
        <v>97.9</v>
      </c>
      <c r="F101" s="286">
        <f>F100</f>
        <v>0.335</v>
      </c>
      <c r="G101" s="66">
        <f aca="true" t="shared" si="23" ref="G101:G111">F101*E101</f>
        <v>32.7965</v>
      </c>
      <c r="H101" s="60">
        <f t="shared" si="21"/>
        <v>0.01639825</v>
      </c>
      <c r="I101" s="7"/>
      <c r="J101" s="2"/>
      <c r="N101" s="2"/>
    </row>
    <row r="102" spans="1:14" s="4" customFormat="1" ht="12">
      <c r="A102" s="85" t="s">
        <v>150</v>
      </c>
      <c r="B102" s="57">
        <f>'INPUT 1 - 2013 MATERIAL USAGE'!D13</f>
        <v>165</v>
      </c>
      <c r="C102" s="19">
        <v>0.89</v>
      </c>
      <c r="D102" s="57">
        <f t="shared" si="22"/>
        <v>1498.2</v>
      </c>
      <c r="E102" s="19">
        <f t="shared" si="20"/>
        <v>146.85</v>
      </c>
      <c r="F102" s="286">
        <f aca="true" t="shared" si="24" ref="F102:F111">F101</f>
        <v>0.335</v>
      </c>
      <c r="G102" s="66">
        <f t="shared" si="23"/>
        <v>49.19475</v>
      </c>
      <c r="H102" s="60">
        <f t="shared" si="21"/>
        <v>0.024597375</v>
      </c>
      <c r="I102" s="7"/>
      <c r="J102" s="2"/>
      <c r="N102" s="2"/>
    </row>
    <row r="103" spans="1:14" s="4" customFormat="1" ht="12">
      <c r="A103" s="85" t="s">
        <v>140</v>
      </c>
      <c r="B103" s="57">
        <f>'INPUT 1 - 2013 MATERIAL USAGE'!E13</f>
        <v>165</v>
      </c>
      <c r="C103" s="19">
        <v>0.89</v>
      </c>
      <c r="D103" s="57">
        <f t="shared" si="22"/>
        <v>1498.2</v>
      </c>
      <c r="E103" s="19">
        <f t="shared" si="20"/>
        <v>146.85</v>
      </c>
      <c r="F103" s="286">
        <f t="shared" si="24"/>
        <v>0.335</v>
      </c>
      <c r="G103" s="66">
        <f t="shared" si="23"/>
        <v>49.19475</v>
      </c>
      <c r="H103" s="60">
        <f t="shared" si="21"/>
        <v>0.024597375</v>
      </c>
      <c r="I103" s="7"/>
      <c r="J103" s="2"/>
      <c r="N103" s="2"/>
    </row>
    <row r="104" spans="1:14" s="4" customFormat="1" ht="12">
      <c r="A104" s="85" t="s">
        <v>141</v>
      </c>
      <c r="B104" s="57">
        <f>'INPUT 1 - 2013 MATERIAL USAGE'!F13</f>
        <v>110</v>
      </c>
      <c r="C104" s="19">
        <v>0.89</v>
      </c>
      <c r="D104" s="57">
        <f t="shared" si="22"/>
        <v>998.8</v>
      </c>
      <c r="E104" s="19">
        <f t="shared" si="20"/>
        <v>97.9</v>
      </c>
      <c r="F104" s="286">
        <f t="shared" si="24"/>
        <v>0.335</v>
      </c>
      <c r="G104" s="66">
        <f t="shared" si="23"/>
        <v>32.7965</v>
      </c>
      <c r="H104" s="60">
        <f t="shared" si="21"/>
        <v>0.01639825</v>
      </c>
      <c r="I104" s="7"/>
      <c r="J104" s="2"/>
      <c r="N104" s="2"/>
    </row>
    <row r="105" spans="1:14" s="4" customFormat="1" ht="12">
      <c r="A105" s="85" t="s">
        <v>151</v>
      </c>
      <c r="B105" s="57">
        <f>'INPUT 1 - 2013 MATERIAL USAGE'!G13</f>
        <v>110</v>
      </c>
      <c r="C105" s="19">
        <v>0.89</v>
      </c>
      <c r="D105" s="57">
        <f t="shared" si="22"/>
        <v>998.8</v>
      </c>
      <c r="E105" s="19">
        <f t="shared" si="20"/>
        <v>97.9</v>
      </c>
      <c r="F105" s="286">
        <f t="shared" si="24"/>
        <v>0.335</v>
      </c>
      <c r="G105" s="66">
        <f t="shared" si="23"/>
        <v>32.7965</v>
      </c>
      <c r="H105" s="60">
        <f t="shared" si="21"/>
        <v>0.01639825</v>
      </c>
      <c r="I105" s="7"/>
      <c r="J105" s="2"/>
      <c r="N105" s="2"/>
    </row>
    <row r="106" spans="1:14" s="4" customFormat="1" ht="12">
      <c r="A106" s="85" t="s">
        <v>152</v>
      </c>
      <c r="B106" s="57">
        <f>'INPUT 1 - 2013 MATERIAL USAGE'!H13</f>
        <v>110</v>
      </c>
      <c r="C106" s="19">
        <v>0.89</v>
      </c>
      <c r="D106" s="57">
        <f t="shared" si="22"/>
        <v>998.8</v>
      </c>
      <c r="E106" s="19">
        <f t="shared" si="20"/>
        <v>97.9</v>
      </c>
      <c r="F106" s="286">
        <f t="shared" si="24"/>
        <v>0.335</v>
      </c>
      <c r="G106" s="66">
        <f t="shared" si="23"/>
        <v>32.7965</v>
      </c>
      <c r="H106" s="60">
        <f t="shared" si="21"/>
        <v>0.01639825</v>
      </c>
      <c r="I106" s="7"/>
      <c r="J106" s="2"/>
      <c r="N106" s="2"/>
    </row>
    <row r="107" spans="1:14" s="4" customFormat="1" ht="12">
      <c r="A107" s="85" t="s">
        <v>153</v>
      </c>
      <c r="B107" s="57">
        <f>'INPUT 1 - 2013 MATERIAL USAGE'!I13</f>
        <v>0</v>
      </c>
      <c r="C107" s="19">
        <v>0.89</v>
      </c>
      <c r="D107" s="57">
        <f t="shared" si="22"/>
        <v>0</v>
      </c>
      <c r="E107" s="19">
        <f t="shared" si="20"/>
        <v>0</v>
      </c>
      <c r="F107" s="286">
        <f t="shared" si="24"/>
        <v>0.335</v>
      </c>
      <c r="G107" s="66">
        <f t="shared" si="23"/>
        <v>0</v>
      </c>
      <c r="H107" s="60">
        <f t="shared" si="21"/>
        <v>0</v>
      </c>
      <c r="I107" s="7"/>
      <c r="J107" s="2"/>
      <c r="N107" s="2"/>
    </row>
    <row r="108" spans="1:14" s="4" customFormat="1" ht="12">
      <c r="A108" s="85" t="s">
        <v>145</v>
      </c>
      <c r="B108" s="57">
        <f>'INPUT 1 - 2013 MATERIAL USAGE'!J13</f>
        <v>0</v>
      </c>
      <c r="C108" s="19">
        <v>0.89</v>
      </c>
      <c r="D108" s="57">
        <f t="shared" si="22"/>
        <v>0</v>
      </c>
      <c r="E108" s="19">
        <f t="shared" si="20"/>
        <v>0</v>
      </c>
      <c r="F108" s="286">
        <f t="shared" si="24"/>
        <v>0.335</v>
      </c>
      <c r="G108" s="66">
        <f t="shared" si="23"/>
        <v>0</v>
      </c>
      <c r="H108" s="60">
        <f t="shared" si="21"/>
        <v>0</v>
      </c>
      <c r="I108" s="7"/>
      <c r="J108" s="2"/>
      <c r="N108" s="2"/>
    </row>
    <row r="109" spans="1:14" s="4" customFormat="1" ht="12">
      <c r="A109" s="85" t="s">
        <v>146</v>
      </c>
      <c r="B109" s="57">
        <f>'INPUT 1 - 2013 MATERIAL USAGE'!K13</f>
        <v>0</v>
      </c>
      <c r="C109" s="19">
        <v>0.89</v>
      </c>
      <c r="D109" s="57">
        <f t="shared" si="22"/>
        <v>0</v>
      </c>
      <c r="E109" s="19">
        <f t="shared" si="20"/>
        <v>0</v>
      </c>
      <c r="F109" s="286">
        <f t="shared" si="24"/>
        <v>0.335</v>
      </c>
      <c r="G109" s="66">
        <f t="shared" si="23"/>
        <v>0</v>
      </c>
      <c r="H109" s="60">
        <f t="shared" si="21"/>
        <v>0</v>
      </c>
      <c r="I109" s="7"/>
      <c r="J109" s="2"/>
      <c r="N109" s="2"/>
    </row>
    <row r="110" spans="1:14" s="4" customFormat="1" ht="12">
      <c r="A110" s="85" t="s">
        <v>154</v>
      </c>
      <c r="B110" s="57">
        <f>'INPUT 1 - 2013 MATERIAL USAGE'!L13</f>
        <v>0</v>
      </c>
      <c r="C110" s="19">
        <v>0.89</v>
      </c>
      <c r="D110" s="57">
        <f t="shared" si="22"/>
        <v>0</v>
      </c>
      <c r="E110" s="19">
        <f t="shared" si="20"/>
        <v>0</v>
      </c>
      <c r="F110" s="286">
        <f t="shared" si="24"/>
        <v>0.335</v>
      </c>
      <c r="G110" s="66">
        <f t="shared" si="23"/>
        <v>0</v>
      </c>
      <c r="H110" s="60">
        <f t="shared" si="21"/>
        <v>0</v>
      </c>
      <c r="I110" s="7"/>
      <c r="J110" s="2"/>
      <c r="N110" s="2"/>
    </row>
    <row r="111" spans="1:14" s="4" customFormat="1" ht="12.75" thickBot="1">
      <c r="A111" s="85" t="s">
        <v>148</v>
      </c>
      <c r="B111" s="57">
        <f>'INPUT 1 - 2013 MATERIAL USAGE'!M13</f>
        <v>0</v>
      </c>
      <c r="C111" s="19">
        <v>0.89</v>
      </c>
      <c r="D111" s="57">
        <f t="shared" si="22"/>
        <v>0</v>
      </c>
      <c r="E111" s="19">
        <f t="shared" si="20"/>
        <v>0</v>
      </c>
      <c r="F111" s="286">
        <f t="shared" si="24"/>
        <v>0.335</v>
      </c>
      <c r="G111" s="66">
        <f t="shared" si="23"/>
        <v>0</v>
      </c>
      <c r="H111" s="60">
        <f t="shared" si="21"/>
        <v>0</v>
      </c>
      <c r="I111" s="7"/>
      <c r="J111" s="2"/>
      <c r="N111" s="2"/>
    </row>
    <row r="112" spans="1:14" s="4" customFormat="1" ht="13.5" thickBot="1" thickTop="1">
      <c r="A112" s="61" t="s">
        <v>11</v>
      </c>
      <c r="B112" s="70">
        <f>SUM(B100:B111)</f>
        <v>880</v>
      </c>
      <c r="C112" s="70"/>
      <c r="D112" s="70">
        <f>SUM(D100:D111)</f>
        <v>7990.400000000001</v>
      </c>
      <c r="E112" s="70">
        <f>SUM(E100:E111)</f>
        <v>783.1999999999999</v>
      </c>
      <c r="F112" s="70"/>
      <c r="G112" s="70">
        <f>SUM(G100:G111)</f>
        <v>262.372</v>
      </c>
      <c r="H112" s="71">
        <f>SUM(H100:H111)</f>
        <v>0.131186</v>
      </c>
      <c r="I112" s="7"/>
      <c r="J112" s="2"/>
      <c r="N112" s="2"/>
    </row>
    <row r="113" spans="3:8" ht="12.75">
      <c r="C113"/>
      <c r="E113"/>
      <c r="F113"/>
      <c r="G113" s="195"/>
      <c r="H113"/>
    </row>
    <row r="114" spans="3:8" ht="13.5" thickBot="1">
      <c r="C114"/>
      <c r="E114"/>
      <c r="F114"/>
      <c r="G114" s="195"/>
      <c r="H114"/>
    </row>
    <row r="115" spans="1:8" ht="13.5" thickBot="1">
      <c r="A115" s="439" t="s">
        <v>179</v>
      </c>
      <c r="B115" s="440"/>
      <c r="C115" s="440"/>
      <c r="D115" s="440"/>
      <c r="E115" s="440"/>
      <c r="F115" s="440"/>
      <c r="G115" s="440"/>
      <c r="H115" s="441"/>
    </row>
    <row r="116" spans="1:8" ht="24.75" thickBot="1">
      <c r="A116" s="46" t="s">
        <v>6</v>
      </c>
      <c r="B116" s="47" t="s">
        <v>7</v>
      </c>
      <c r="C116" s="47" t="s">
        <v>8</v>
      </c>
      <c r="D116" s="47" t="s">
        <v>9</v>
      </c>
      <c r="E116" s="48" t="s">
        <v>10</v>
      </c>
      <c r="F116" s="48" t="s">
        <v>3</v>
      </c>
      <c r="G116" s="200" t="s">
        <v>4</v>
      </c>
      <c r="H116" s="48" t="s">
        <v>5</v>
      </c>
    </row>
    <row r="117" spans="1:8" ht="13.5" thickBot="1">
      <c r="A117" s="392" t="s">
        <v>120</v>
      </c>
      <c r="B117" s="393"/>
      <c r="C117" s="393"/>
      <c r="D117" s="393"/>
      <c r="E117" s="393"/>
      <c r="F117" s="393"/>
      <c r="G117" s="393"/>
      <c r="H117" s="394"/>
    </row>
    <row r="118" spans="1:8" ht="12.75">
      <c r="A118" s="85" t="str">
        <f aca="true" t="shared" si="25" ref="A118:A129">A153</f>
        <v>Jan</v>
      </c>
      <c r="B118" s="57">
        <f>'INPUT 1 - 2013 MATERIAL USAGE'!B8*'% PRODUCTION'!F5</f>
        <v>119.72318898975158</v>
      </c>
      <c r="C118" s="57">
        <v>6.5</v>
      </c>
      <c r="D118" s="57">
        <f aca="true" t="shared" si="26" ref="D118:D129">B118*6.926</f>
        <v>829.2028069430195</v>
      </c>
      <c r="E118" s="57">
        <f aca="true" t="shared" si="27" ref="E118:E129">B118*C118</f>
        <v>778.2007284333853</v>
      </c>
      <c r="F118" s="59">
        <v>0.5</v>
      </c>
      <c r="G118" s="66">
        <f>E118*F118</f>
        <v>389.10036421669264</v>
      </c>
      <c r="H118" s="60">
        <f aca="true" t="shared" si="28" ref="H118:H129">G118/2000</f>
        <v>0.19455018210834632</v>
      </c>
    </row>
    <row r="119" spans="1:8" ht="12.75">
      <c r="A119" s="85" t="str">
        <f t="shared" si="25"/>
        <v>Feb</v>
      </c>
      <c r="B119" s="57">
        <f>'INPUT 1 - 2013 MATERIAL USAGE'!C8*'% PRODUCTION'!F5</f>
        <v>95.77855119180126</v>
      </c>
      <c r="C119" s="57">
        <v>6.5</v>
      </c>
      <c r="D119" s="57">
        <f t="shared" si="26"/>
        <v>663.3622455544155</v>
      </c>
      <c r="E119" s="57">
        <f t="shared" si="27"/>
        <v>622.5605827467082</v>
      </c>
      <c r="F119" s="59">
        <v>0.5</v>
      </c>
      <c r="G119" s="66">
        <f aca="true" t="shared" si="29" ref="G119:G129">E119*F119</f>
        <v>311.2802913733541</v>
      </c>
      <c r="H119" s="60">
        <f t="shared" si="28"/>
        <v>0.15564014568667706</v>
      </c>
    </row>
    <row r="120" spans="1:8" ht="12.75">
      <c r="A120" s="85" t="str">
        <f t="shared" si="25"/>
        <v>Mar</v>
      </c>
      <c r="B120" s="57">
        <f>'INPUT 1 - 2013 MATERIAL USAGE'!D8*'% PRODUCTION'!F5</f>
        <v>95.77855119180126</v>
      </c>
      <c r="C120" s="57">
        <v>6.5</v>
      </c>
      <c r="D120" s="57">
        <f t="shared" si="26"/>
        <v>663.3622455544155</v>
      </c>
      <c r="E120" s="57">
        <f t="shared" si="27"/>
        <v>622.5605827467082</v>
      </c>
      <c r="F120" s="59">
        <v>0.5</v>
      </c>
      <c r="G120" s="66">
        <f t="shared" si="29"/>
        <v>311.2802913733541</v>
      </c>
      <c r="H120" s="60">
        <f t="shared" si="28"/>
        <v>0.15564014568667706</v>
      </c>
    </row>
    <row r="121" spans="1:8" ht="12.75">
      <c r="A121" s="85" t="str">
        <f t="shared" si="25"/>
        <v>Apr</v>
      </c>
      <c r="B121" s="57">
        <f>'INPUT 1 - 2013 MATERIAL USAGE'!E8*'% PRODUCTION'!F5</f>
        <v>119.72318898975158</v>
      </c>
      <c r="C121" s="57">
        <v>6.5</v>
      </c>
      <c r="D121" s="57">
        <f t="shared" si="26"/>
        <v>829.2028069430195</v>
      </c>
      <c r="E121" s="57">
        <f t="shared" si="27"/>
        <v>778.2007284333853</v>
      </c>
      <c r="F121" s="59">
        <v>0.5</v>
      </c>
      <c r="G121" s="66">
        <f t="shared" si="29"/>
        <v>389.10036421669264</v>
      </c>
      <c r="H121" s="60">
        <f t="shared" si="28"/>
        <v>0.19455018210834632</v>
      </c>
    </row>
    <row r="122" spans="1:8" ht="12.75">
      <c r="A122" s="85" t="str">
        <f t="shared" si="25"/>
        <v>May</v>
      </c>
      <c r="B122" s="57">
        <f>'INPUT 1 - 2013 MATERIAL USAGE'!F8*'% PRODUCTION'!F5</f>
        <v>119.72318898975158</v>
      </c>
      <c r="C122" s="57">
        <v>6.5</v>
      </c>
      <c r="D122" s="57">
        <f t="shared" si="26"/>
        <v>829.2028069430195</v>
      </c>
      <c r="E122" s="57">
        <f t="shared" si="27"/>
        <v>778.2007284333853</v>
      </c>
      <c r="F122" s="59">
        <v>0.5</v>
      </c>
      <c r="G122" s="66">
        <f t="shared" si="29"/>
        <v>389.10036421669264</v>
      </c>
      <c r="H122" s="60">
        <f t="shared" si="28"/>
        <v>0.19455018210834632</v>
      </c>
    </row>
    <row r="123" spans="1:8" ht="12.75">
      <c r="A123" s="85" t="str">
        <f t="shared" si="25"/>
        <v>Jun</v>
      </c>
      <c r="B123" s="57">
        <f>'INPUT 1 - 2013 MATERIAL USAGE'!G8*'% PRODUCTION'!F5</f>
        <v>119.72318898975158</v>
      </c>
      <c r="C123" s="57">
        <v>6.5</v>
      </c>
      <c r="D123" s="57">
        <f t="shared" si="26"/>
        <v>829.2028069430195</v>
      </c>
      <c r="E123" s="57">
        <f t="shared" si="27"/>
        <v>778.2007284333853</v>
      </c>
      <c r="F123" s="59">
        <v>0.5</v>
      </c>
      <c r="G123" s="66">
        <f t="shared" si="29"/>
        <v>389.10036421669264</v>
      </c>
      <c r="H123" s="60">
        <f t="shared" si="28"/>
        <v>0.19455018210834632</v>
      </c>
    </row>
    <row r="124" spans="1:8" ht="12.75">
      <c r="A124" s="85" t="str">
        <f t="shared" si="25"/>
        <v>Jul</v>
      </c>
      <c r="B124" s="57">
        <f>'INPUT 1 - 2013 MATERIAL USAGE'!H8*'% PRODUCTION'!$F$5</f>
        <v>71.83391339385095</v>
      </c>
      <c r="C124" s="57">
        <v>6.5</v>
      </c>
      <c r="D124" s="57">
        <f t="shared" si="26"/>
        <v>497.5216841658117</v>
      </c>
      <c r="E124" s="57">
        <f t="shared" si="27"/>
        <v>466.9204370600312</v>
      </c>
      <c r="F124" s="59">
        <v>0.5</v>
      </c>
      <c r="G124" s="66">
        <f t="shared" si="29"/>
        <v>233.4602185300156</v>
      </c>
      <c r="H124" s="60">
        <f t="shared" si="28"/>
        <v>0.11673010926500779</v>
      </c>
    </row>
    <row r="125" spans="1:8" ht="12.75">
      <c r="A125" s="85" t="str">
        <f t="shared" si="25"/>
        <v>Aug</v>
      </c>
      <c r="B125" s="57">
        <f>'INPUT 1 - 2013 MATERIAL USAGE'!I8*'% PRODUCTION'!$F$5</f>
        <v>0</v>
      </c>
      <c r="C125" s="57">
        <v>6.5</v>
      </c>
      <c r="D125" s="57">
        <f t="shared" si="26"/>
        <v>0</v>
      </c>
      <c r="E125" s="57">
        <f t="shared" si="27"/>
        <v>0</v>
      </c>
      <c r="F125" s="59">
        <v>0.5</v>
      </c>
      <c r="G125" s="66">
        <f t="shared" si="29"/>
        <v>0</v>
      </c>
      <c r="H125" s="60">
        <f t="shared" si="28"/>
        <v>0</v>
      </c>
    </row>
    <row r="126" spans="1:8" ht="12.75">
      <c r="A126" s="85" t="str">
        <f t="shared" si="25"/>
        <v>Sep</v>
      </c>
      <c r="B126" s="57">
        <f>'INPUT 1 - 2013 MATERIAL USAGE'!J8*'% PRODUCTION'!$F$5</f>
        <v>0</v>
      </c>
      <c r="C126" s="57">
        <v>6.5</v>
      </c>
      <c r="D126" s="57">
        <f t="shared" si="26"/>
        <v>0</v>
      </c>
      <c r="E126" s="57">
        <f t="shared" si="27"/>
        <v>0</v>
      </c>
      <c r="F126" s="59">
        <v>0.5</v>
      </c>
      <c r="G126" s="66">
        <f t="shared" si="29"/>
        <v>0</v>
      </c>
      <c r="H126" s="60">
        <f t="shared" si="28"/>
        <v>0</v>
      </c>
    </row>
    <row r="127" spans="1:8" ht="12.75">
      <c r="A127" s="85" t="str">
        <f t="shared" si="25"/>
        <v>Oct</v>
      </c>
      <c r="B127" s="57">
        <f>'INPUT 1 - 2013 MATERIAL USAGE'!K8*'% PRODUCTION'!$F$5</f>
        <v>0</v>
      </c>
      <c r="C127" s="57">
        <v>6.5</v>
      </c>
      <c r="D127" s="57">
        <f t="shared" si="26"/>
        <v>0</v>
      </c>
      <c r="E127" s="57">
        <f t="shared" si="27"/>
        <v>0</v>
      </c>
      <c r="F127" s="59">
        <v>0.5</v>
      </c>
      <c r="G127" s="66">
        <f t="shared" si="29"/>
        <v>0</v>
      </c>
      <c r="H127" s="60">
        <f t="shared" si="28"/>
        <v>0</v>
      </c>
    </row>
    <row r="128" spans="1:8" ht="12.75">
      <c r="A128" s="85" t="str">
        <f t="shared" si="25"/>
        <v>Nov</v>
      </c>
      <c r="B128" s="57">
        <f>'INPUT 1 - 2013 MATERIAL USAGE'!L8*'% PRODUCTION'!$F$5</f>
        <v>0</v>
      </c>
      <c r="C128" s="57">
        <v>6.5</v>
      </c>
      <c r="D128" s="57">
        <f t="shared" si="26"/>
        <v>0</v>
      </c>
      <c r="E128" s="57">
        <f t="shared" si="27"/>
        <v>0</v>
      </c>
      <c r="F128" s="59">
        <v>0.5</v>
      </c>
      <c r="G128" s="66">
        <f t="shared" si="29"/>
        <v>0</v>
      </c>
      <c r="H128" s="60">
        <f t="shared" si="28"/>
        <v>0</v>
      </c>
    </row>
    <row r="129" spans="1:8" ht="13.5" thickBot="1">
      <c r="A129" s="85" t="str">
        <f t="shared" si="25"/>
        <v>Dec</v>
      </c>
      <c r="B129" s="57">
        <f>'INPUT 1 - 2013 MATERIAL USAGE'!M8*'% PRODUCTION'!$F$5</f>
        <v>0</v>
      </c>
      <c r="C129" s="57">
        <v>6.5</v>
      </c>
      <c r="D129" s="57">
        <f t="shared" si="26"/>
        <v>0</v>
      </c>
      <c r="E129" s="57">
        <f t="shared" si="27"/>
        <v>0</v>
      </c>
      <c r="F129" s="59">
        <v>0.5</v>
      </c>
      <c r="G129" s="66">
        <f t="shared" si="29"/>
        <v>0</v>
      </c>
      <c r="H129" s="60">
        <f t="shared" si="28"/>
        <v>0</v>
      </c>
    </row>
    <row r="130" spans="1:8" ht="14.25" thickBot="1" thickTop="1">
      <c r="A130" s="61" t="s">
        <v>11</v>
      </c>
      <c r="B130" s="70">
        <f>SUM(B118:B129)</f>
        <v>742.2837717364598</v>
      </c>
      <c r="C130" s="70"/>
      <c r="D130" s="70">
        <f>SUM(D118:D129)</f>
        <v>5141.0574030467205</v>
      </c>
      <c r="E130" s="70">
        <f>SUM(E118:E129)</f>
        <v>4824.844516286988</v>
      </c>
      <c r="F130" s="70"/>
      <c r="G130" s="70">
        <f>SUM(G118:G129)</f>
        <v>2412.422258143494</v>
      </c>
      <c r="H130" s="71">
        <f>SUM(H118:H129)</f>
        <v>1.206211129071747</v>
      </c>
    </row>
    <row r="131" spans="1:8" ht="12.75">
      <c r="A131" s="29"/>
      <c r="B131" s="51"/>
      <c r="C131" s="51"/>
      <c r="D131" s="51"/>
      <c r="E131" s="51"/>
      <c r="F131" s="51"/>
      <c r="G131" s="51"/>
      <c r="H131" s="51"/>
    </row>
    <row r="132" spans="1:8" ht="13.5" thickBot="1">
      <c r="A132" s="29"/>
      <c r="B132" s="51"/>
      <c r="C132" s="51"/>
      <c r="D132" s="51"/>
      <c r="E132" s="51"/>
      <c r="F132" s="51"/>
      <c r="G132" s="51"/>
      <c r="H132" s="51"/>
    </row>
    <row r="133" spans="1:8" ht="13.5" thickBot="1">
      <c r="A133" s="439" t="s">
        <v>180</v>
      </c>
      <c r="B133" s="440"/>
      <c r="C133" s="440"/>
      <c r="D133" s="440"/>
      <c r="E133" s="440"/>
      <c r="F133" s="440"/>
      <c r="G133" s="440"/>
      <c r="H133" s="441"/>
    </row>
    <row r="134" spans="1:8" ht="24.75" thickBot="1">
      <c r="A134" s="46" t="s">
        <v>6</v>
      </c>
      <c r="B134" s="47" t="s">
        <v>7</v>
      </c>
      <c r="C134" s="47" t="s">
        <v>8</v>
      </c>
      <c r="D134" s="47" t="s">
        <v>9</v>
      </c>
      <c r="E134" s="48" t="s">
        <v>10</v>
      </c>
      <c r="F134" s="48" t="s">
        <v>3</v>
      </c>
      <c r="G134" s="200" t="s">
        <v>4</v>
      </c>
      <c r="H134" s="48" t="s">
        <v>5</v>
      </c>
    </row>
    <row r="135" spans="1:8" ht="13.5" thickBot="1">
      <c r="A135" s="392" t="s">
        <v>120</v>
      </c>
      <c r="B135" s="393"/>
      <c r="C135" s="393"/>
      <c r="D135" s="393"/>
      <c r="E135" s="393"/>
      <c r="F135" s="393"/>
      <c r="G135" s="393"/>
      <c r="H135" s="394"/>
    </row>
    <row r="136" spans="1:8" ht="12.75">
      <c r="A136" s="85" t="str">
        <f>A118</f>
        <v>Jan</v>
      </c>
      <c r="B136" s="57">
        <f>'INPUT 1 - 2013 MATERIAL USAGE'!B8*'% PRODUCTION'!F6</f>
        <v>51.874714403569264</v>
      </c>
      <c r="C136" s="57">
        <v>6.5</v>
      </c>
      <c r="D136" s="57">
        <f aca="true" t="shared" si="30" ref="D136:D147">B136*6.926</f>
        <v>359.28427195912076</v>
      </c>
      <c r="E136" s="57">
        <f aca="true" t="shared" si="31" ref="E136:E147">B136*C136</f>
        <v>337.18564362320024</v>
      </c>
      <c r="F136" s="59">
        <f>F118</f>
        <v>0.5</v>
      </c>
      <c r="G136" s="66">
        <f>E136*F136</f>
        <v>168.59282181160012</v>
      </c>
      <c r="H136" s="60">
        <f aca="true" t="shared" si="32" ref="H136:H147">G136/2000</f>
        <v>0.08429641090580006</v>
      </c>
    </row>
    <row r="137" spans="1:8" ht="12.75">
      <c r="A137" s="85" t="str">
        <f aca="true" t="shared" si="33" ref="A137:A147">A119</f>
        <v>Feb</v>
      </c>
      <c r="B137" s="57">
        <f>'INPUT 1 - 2013 MATERIAL USAGE'!C8*'% PRODUCTION'!F6</f>
        <v>41.49977152285541</v>
      </c>
      <c r="C137" s="57">
        <v>6.5</v>
      </c>
      <c r="D137" s="57">
        <f t="shared" si="30"/>
        <v>287.4274175672966</v>
      </c>
      <c r="E137" s="57">
        <f t="shared" si="31"/>
        <v>269.7485148985602</v>
      </c>
      <c r="F137" s="59">
        <f aca="true" t="shared" si="34" ref="F137:F147">F119</f>
        <v>0.5</v>
      </c>
      <c r="G137" s="66">
        <f aca="true" t="shared" si="35" ref="G137:G147">E137*F137</f>
        <v>134.8742574492801</v>
      </c>
      <c r="H137" s="60">
        <f t="shared" si="32"/>
        <v>0.06743712872464004</v>
      </c>
    </row>
    <row r="138" spans="1:8" ht="12.75">
      <c r="A138" s="85" t="str">
        <f t="shared" si="33"/>
        <v>Mar</v>
      </c>
      <c r="B138" s="57">
        <f>'INPUT 1 - 2013 MATERIAL USAGE'!D8*'% PRODUCTION'!F6</f>
        <v>41.49977152285541</v>
      </c>
      <c r="C138" s="57">
        <v>6.5</v>
      </c>
      <c r="D138" s="57">
        <f t="shared" si="30"/>
        <v>287.4274175672966</v>
      </c>
      <c r="E138" s="57">
        <f t="shared" si="31"/>
        <v>269.7485148985602</v>
      </c>
      <c r="F138" s="59">
        <f t="shared" si="34"/>
        <v>0.5</v>
      </c>
      <c r="G138" s="66">
        <f t="shared" si="35"/>
        <v>134.8742574492801</v>
      </c>
      <c r="H138" s="60">
        <f t="shared" si="32"/>
        <v>0.06743712872464004</v>
      </c>
    </row>
    <row r="139" spans="1:8" ht="12.75">
      <c r="A139" s="85" t="str">
        <f t="shared" si="33"/>
        <v>Apr</v>
      </c>
      <c r="B139" s="57">
        <f>'INPUT 1 - 2013 MATERIAL USAGE'!E8*'% PRODUCTION'!F6</f>
        <v>51.874714403569264</v>
      </c>
      <c r="C139" s="57">
        <v>6.5</v>
      </c>
      <c r="D139" s="57">
        <f t="shared" si="30"/>
        <v>359.28427195912076</v>
      </c>
      <c r="E139" s="57">
        <f t="shared" si="31"/>
        <v>337.18564362320024</v>
      </c>
      <c r="F139" s="59">
        <f t="shared" si="34"/>
        <v>0.5</v>
      </c>
      <c r="G139" s="66">
        <f t="shared" si="35"/>
        <v>168.59282181160012</v>
      </c>
      <c r="H139" s="60">
        <f t="shared" si="32"/>
        <v>0.08429641090580006</v>
      </c>
    </row>
    <row r="140" spans="1:8" ht="12.75">
      <c r="A140" s="85" t="str">
        <f t="shared" si="33"/>
        <v>May</v>
      </c>
      <c r="B140" s="57">
        <f>'INPUT 1 - 2013 MATERIAL USAGE'!F8*'% PRODUCTION'!F6</f>
        <v>51.874714403569264</v>
      </c>
      <c r="C140" s="57">
        <v>6.5</v>
      </c>
      <c r="D140" s="57">
        <f t="shared" si="30"/>
        <v>359.28427195912076</v>
      </c>
      <c r="E140" s="57">
        <f t="shared" si="31"/>
        <v>337.18564362320024</v>
      </c>
      <c r="F140" s="59">
        <f t="shared" si="34"/>
        <v>0.5</v>
      </c>
      <c r="G140" s="66">
        <f t="shared" si="35"/>
        <v>168.59282181160012</v>
      </c>
      <c r="H140" s="60">
        <f t="shared" si="32"/>
        <v>0.08429641090580006</v>
      </c>
    </row>
    <row r="141" spans="1:8" ht="12.75">
      <c r="A141" s="85" t="str">
        <f t="shared" si="33"/>
        <v>Jun</v>
      </c>
      <c r="B141" s="57">
        <f>'INPUT 1 - 2013 MATERIAL USAGE'!G8*'% PRODUCTION'!F6</f>
        <v>51.874714403569264</v>
      </c>
      <c r="C141" s="57">
        <v>6.5</v>
      </c>
      <c r="D141" s="57">
        <f t="shared" si="30"/>
        <v>359.28427195912076</v>
      </c>
      <c r="E141" s="57">
        <f t="shared" si="31"/>
        <v>337.18564362320024</v>
      </c>
      <c r="F141" s="59">
        <f t="shared" si="34"/>
        <v>0.5</v>
      </c>
      <c r="G141" s="66">
        <f t="shared" si="35"/>
        <v>168.59282181160012</v>
      </c>
      <c r="H141" s="60">
        <f t="shared" si="32"/>
        <v>0.08429641090580006</v>
      </c>
    </row>
    <row r="142" spans="1:8" ht="12.75">
      <c r="A142" s="85" t="str">
        <f t="shared" si="33"/>
        <v>Jul</v>
      </c>
      <c r="B142" s="57">
        <f>'INPUT 1 - 2013 MATERIAL USAGE'!H8*'% PRODUCTION'!$F$6</f>
        <v>31.12482864214156</v>
      </c>
      <c r="C142" s="57">
        <v>6.5</v>
      </c>
      <c r="D142" s="57">
        <f t="shared" si="30"/>
        <v>215.57056317547244</v>
      </c>
      <c r="E142" s="57">
        <f t="shared" si="31"/>
        <v>202.31138617392014</v>
      </c>
      <c r="F142" s="59">
        <f t="shared" si="34"/>
        <v>0.5</v>
      </c>
      <c r="G142" s="66">
        <f t="shared" si="35"/>
        <v>101.15569308696007</v>
      </c>
      <c r="H142" s="60">
        <f t="shared" si="32"/>
        <v>0.050577846543480035</v>
      </c>
    </row>
    <row r="143" spans="1:8" ht="12.75">
      <c r="A143" s="85" t="str">
        <f t="shared" si="33"/>
        <v>Aug</v>
      </c>
      <c r="B143" s="57">
        <f>'INPUT 1 - 2013 MATERIAL USAGE'!I8*'% PRODUCTION'!$F$6</f>
        <v>0</v>
      </c>
      <c r="C143" s="57">
        <v>6.5</v>
      </c>
      <c r="D143" s="57">
        <f t="shared" si="30"/>
        <v>0</v>
      </c>
      <c r="E143" s="57">
        <f t="shared" si="31"/>
        <v>0</v>
      </c>
      <c r="F143" s="59">
        <f t="shared" si="34"/>
        <v>0.5</v>
      </c>
      <c r="G143" s="66">
        <f t="shared" si="35"/>
        <v>0</v>
      </c>
      <c r="H143" s="60">
        <f t="shared" si="32"/>
        <v>0</v>
      </c>
    </row>
    <row r="144" spans="1:8" ht="12.75">
      <c r="A144" s="85" t="str">
        <f t="shared" si="33"/>
        <v>Sep</v>
      </c>
      <c r="B144" s="57">
        <f>'INPUT 1 - 2013 MATERIAL USAGE'!J8*'% PRODUCTION'!$F$6</f>
        <v>0</v>
      </c>
      <c r="C144" s="57">
        <v>6.5</v>
      </c>
      <c r="D144" s="57">
        <f t="shared" si="30"/>
        <v>0</v>
      </c>
      <c r="E144" s="57">
        <f t="shared" si="31"/>
        <v>0</v>
      </c>
      <c r="F144" s="59">
        <f t="shared" si="34"/>
        <v>0.5</v>
      </c>
      <c r="G144" s="66">
        <f t="shared" si="35"/>
        <v>0</v>
      </c>
      <c r="H144" s="60">
        <f t="shared" si="32"/>
        <v>0</v>
      </c>
    </row>
    <row r="145" spans="1:8" ht="12.75">
      <c r="A145" s="85" t="str">
        <f t="shared" si="33"/>
        <v>Oct</v>
      </c>
      <c r="B145" s="57">
        <f>'INPUT 1 - 2013 MATERIAL USAGE'!K8*'% PRODUCTION'!$F$6</f>
        <v>0</v>
      </c>
      <c r="C145" s="57">
        <v>6.5</v>
      </c>
      <c r="D145" s="57">
        <f t="shared" si="30"/>
        <v>0</v>
      </c>
      <c r="E145" s="57">
        <f t="shared" si="31"/>
        <v>0</v>
      </c>
      <c r="F145" s="59">
        <f t="shared" si="34"/>
        <v>0.5</v>
      </c>
      <c r="G145" s="66">
        <f t="shared" si="35"/>
        <v>0</v>
      </c>
      <c r="H145" s="60">
        <f t="shared" si="32"/>
        <v>0</v>
      </c>
    </row>
    <row r="146" spans="1:8" ht="12.75">
      <c r="A146" s="85" t="str">
        <f t="shared" si="33"/>
        <v>Nov</v>
      </c>
      <c r="B146" s="57">
        <f>'INPUT 1 - 2013 MATERIAL USAGE'!L8*'% PRODUCTION'!$F$6</f>
        <v>0</v>
      </c>
      <c r="C146" s="57">
        <v>6.5</v>
      </c>
      <c r="D146" s="57">
        <f t="shared" si="30"/>
        <v>0</v>
      </c>
      <c r="E146" s="57">
        <f t="shared" si="31"/>
        <v>0</v>
      </c>
      <c r="F146" s="59">
        <f t="shared" si="34"/>
        <v>0.5</v>
      </c>
      <c r="G146" s="66">
        <f t="shared" si="35"/>
        <v>0</v>
      </c>
      <c r="H146" s="60">
        <f t="shared" si="32"/>
        <v>0</v>
      </c>
    </row>
    <row r="147" spans="1:8" ht="13.5" thickBot="1">
      <c r="A147" s="85" t="str">
        <f t="shared" si="33"/>
        <v>Dec</v>
      </c>
      <c r="B147" s="57">
        <f>'INPUT 1 - 2013 MATERIAL USAGE'!M8*'% PRODUCTION'!$F$6</f>
        <v>0</v>
      </c>
      <c r="C147" s="57">
        <v>6.5</v>
      </c>
      <c r="D147" s="57">
        <f t="shared" si="30"/>
        <v>0</v>
      </c>
      <c r="E147" s="57">
        <f t="shared" si="31"/>
        <v>0</v>
      </c>
      <c r="F147" s="59">
        <f t="shared" si="34"/>
        <v>0.5</v>
      </c>
      <c r="G147" s="66">
        <f t="shared" si="35"/>
        <v>0</v>
      </c>
      <c r="H147" s="60">
        <f t="shared" si="32"/>
        <v>0</v>
      </c>
    </row>
    <row r="148" spans="1:8" ht="14.25" thickBot="1" thickTop="1">
      <c r="A148" s="61" t="s">
        <v>11</v>
      </c>
      <c r="B148" s="70">
        <f>SUM(B136:B147)</f>
        <v>321.62322930212946</v>
      </c>
      <c r="C148" s="70"/>
      <c r="D148" s="70">
        <f>SUM(D136:D147)</f>
        <v>2227.5624861465485</v>
      </c>
      <c r="E148" s="70">
        <f>SUM(E136:E147)</f>
        <v>2090.5509904638416</v>
      </c>
      <c r="F148" s="70"/>
      <c r="G148" s="70">
        <f>SUM(G136:G147)</f>
        <v>1045.2754952319208</v>
      </c>
      <c r="H148" s="71">
        <f>SUM(H136:H147)</f>
        <v>0.5226377476159605</v>
      </c>
    </row>
    <row r="149" spans="1:8" ht="13.5" thickBot="1">
      <c r="A149" s="29"/>
      <c r="B149" s="51"/>
      <c r="C149" s="51"/>
      <c r="D149" s="51"/>
      <c r="E149" s="51"/>
      <c r="F149" s="51"/>
      <c r="G149" s="51"/>
      <c r="H149" s="51"/>
    </row>
    <row r="150" spans="1:8" ht="13.5" thickBot="1">
      <c r="A150" s="389" t="s">
        <v>219</v>
      </c>
      <c r="B150" s="390"/>
      <c r="C150" s="390"/>
      <c r="D150" s="390"/>
      <c r="E150" s="390"/>
      <c r="F150" s="390"/>
      <c r="G150" s="390"/>
      <c r="H150" s="391"/>
    </row>
    <row r="151" spans="1:8" ht="24.75" thickBot="1">
      <c r="A151" s="46" t="s">
        <v>6</v>
      </c>
      <c r="B151" s="47" t="s">
        <v>7</v>
      </c>
      <c r="C151" s="47" t="s">
        <v>8</v>
      </c>
      <c r="D151" s="47" t="s">
        <v>9</v>
      </c>
      <c r="E151" s="48" t="s">
        <v>10</v>
      </c>
      <c r="F151" s="48" t="s">
        <v>3</v>
      </c>
      <c r="G151" s="200" t="s">
        <v>4</v>
      </c>
      <c r="H151" s="48" t="s">
        <v>5</v>
      </c>
    </row>
    <row r="152" spans="1:8" ht="13.5" thickBot="1">
      <c r="A152" s="392" t="s">
        <v>120</v>
      </c>
      <c r="B152" s="393"/>
      <c r="C152" s="393"/>
      <c r="D152" s="393"/>
      <c r="E152" s="393"/>
      <c r="F152" s="393"/>
      <c r="G152" s="393"/>
      <c r="H152" s="394"/>
    </row>
    <row r="153" spans="1:8" ht="12.75">
      <c r="A153" s="85" t="str">
        <f aca="true" t="shared" si="36" ref="A153:A164">A66</f>
        <v>Jan</v>
      </c>
      <c r="B153" s="57">
        <f>'INPUT 1 - 2013 MATERIAL USAGE'!B8*'% PRODUCTION'!F7</f>
        <v>103.40209660667917</v>
      </c>
      <c r="C153" s="57">
        <v>6.5</v>
      </c>
      <c r="D153" s="57">
        <f aca="true" t="shared" si="37" ref="D153:D164">B153*6.926</f>
        <v>716.1629210978599</v>
      </c>
      <c r="E153" s="57">
        <f aca="true" t="shared" si="38" ref="E153:E164">B153*C153</f>
        <v>672.1136279434146</v>
      </c>
      <c r="F153" s="59">
        <v>0.5</v>
      </c>
      <c r="G153" s="66">
        <f>F153*E153</f>
        <v>336.0568139717073</v>
      </c>
      <c r="H153" s="60">
        <f aca="true" t="shared" si="39" ref="H153:H164">G153/2000</f>
        <v>0.16802840698585364</v>
      </c>
    </row>
    <row r="154" spans="1:8" ht="12.75">
      <c r="A154" s="85" t="str">
        <f t="shared" si="36"/>
        <v>Feb</v>
      </c>
      <c r="B154" s="57">
        <f>'INPUT 1 - 2013 MATERIAL USAGE'!C8*'% PRODUCTION'!F7</f>
        <v>82.72167728534333</v>
      </c>
      <c r="C154" s="57">
        <v>6.5</v>
      </c>
      <c r="D154" s="57">
        <f t="shared" si="37"/>
        <v>572.9303368782879</v>
      </c>
      <c r="E154" s="57">
        <f t="shared" si="38"/>
        <v>537.6909023547316</v>
      </c>
      <c r="F154" s="59">
        <v>0.5</v>
      </c>
      <c r="G154" s="66">
        <f aca="true" t="shared" si="40" ref="G154:G164">F154*E154</f>
        <v>268.8454511773658</v>
      </c>
      <c r="H154" s="60">
        <f t="shared" si="39"/>
        <v>0.1344227255886829</v>
      </c>
    </row>
    <row r="155" spans="1:8" ht="12.75">
      <c r="A155" s="85" t="str">
        <f t="shared" si="36"/>
        <v>Mar</v>
      </c>
      <c r="B155" s="57">
        <f>'INPUT 1 - 2013 MATERIAL USAGE'!D8*'% PRODUCTION'!F7</f>
        <v>82.72167728534333</v>
      </c>
      <c r="C155" s="57">
        <v>6.5</v>
      </c>
      <c r="D155" s="57">
        <f t="shared" si="37"/>
        <v>572.9303368782879</v>
      </c>
      <c r="E155" s="57">
        <f t="shared" si="38"/>
        <v>537.6909023547316</v>
      </c>
      <c r="F155" s="59">
        <v>0.5</v>
      </c>
      <c r="G155" s="66">
        <f t="shared" si="40"/>
        <v>268.8454511773658</v>
      </c>
      <c r="H155" s="60">
        <f t="shared" si="39"/>
        <v>0.1344227255886829</v>
      </c>
    </row>
    <row r="156" spans="1:8" ht="12.75">
      <c r="A156" s="85" t="str">
        <f t="shared" si="36"/>
        <v>Apr</v>
      </c>
      <c r="B156" s="57">
        <f>'INPUT 1 - 2013 MATERIAL USAGE'!E8*'% PRODUCTION'!F7</f>
        <v>103.40209660667917</v>
      </c>
      <c r="C156" s="57">
        <v>6.5</v>
      </c>
      <c r="D156" s="57">
        <f t="shared" si="37"/>
        <v>716.1629210978599</v>
      </c>
      <c r="E156" s="57">
        <f t="shared" si="38"/>
        <v>672.1136279434146</v>
      </c>
      <c r="F156" s="59">
        <v>0.5</v>
      </c>
      <c r="G156" s="66">
        <f t="shared" si="40"/>
        <v>336.0568139717073</v>
      </c>
      <c r="H156" s="60">
        <f t="shared" si="39"/>
        <v>0.16802840698585364</v>
      </c>
    </row>
    <row r="157" spans="1:8" ht="12.75">
      <c r="A157" s="85" t="str">
        <f t="shared" si="36"/>
        <v>May</v>
      </c>
      <c r="B157" s="57">
        <f>'INPUT 1 - 2013 MATERIAL USAGE'!F8*'% PRODUCTION'!F7</f>
        <v>103.40209660667917</v>
      </c>
      <c r="C157" s="57">
        <v>6.5</v>
      </c>
      <c r="D157" s="57">
        <f t="shared" si="37"/>
        <v>716.1629210978599</v>
      </c>
      <c r="E157" s="57">
        <f t="shared" si="38"/>
        <v>672.1136279434146</v>
      </c>
      <c r="F157" s="59">
        <v>0.5</v>
      </c>
      <c r="G157" s="66">
        <f t="shared" si="40"/>
        <v>336.0568139717073</v>
      </c>
      <c r="H157" s="60">
        <f t="shared" si="39"/>
        <v>0.16802840698585364</v>
      </c>
    </row>
    <row r="158" spans="1:8" ht="12.75">
      <c r="A158" s="85" t="str">
        <f t="shared" si="36"/>
        <v>Jun</v>
      </c>
      <c r="B158" s="57">
        <f>'INPUT 1 - 2013 MATERIAL USAGE'!G8*'% PRODUCTION'!F7</f>
        <v>103.40209660667917</v>
      </c>
      <c r="C158" s="57">
        <v>6.5</v>
      </c>
      <c r="D158" s="57">
        <f t="shared" si="37"/>
        <v>716.1629210978599</v>
      </c>
      <c r="E158" s="57">
        <f t="shared" si="38"/>
        <v>672.1136279434146</v>
      </c>
      <c r="F158" s="59">
        <v>0.5</v>
      </c>
      <c r="G158" s="66">
        <f t="shared" si="40"/>
        <v>336.0568139717073</v>
      </c>
      <c r="H158" s="60">
        <f t="shared" si="39"/>
        <v>0.16802840698585364</v>
      </c>
    </row>
    <row r="159" spans="1:8" ht="12.75">
      <c r="A159" s="85" t="str">
        <f t="shared" si="36"/>
        <v>Jul</v>
      </c>
      <c r="B159" s="57">
        <f>'INPUT 1 - 2013 MATERIAL USAGE'!H8*'% PRODUCTION'!$F$7</f>
        <v>62.0412579640075</v>
      </c>
      <c r="C159" s="57">
        <v>6.5</v>
      </c>
      <c r="D159" s="57">
        <f t="shared" si="37"/>
        <v>429.69775265871596</v>
      </c>
      <c r="E159" s="57">
        <f t="shared" si="38"/>
        <v>403.2681767660487</v>
      </c>
      <c r="F159" s="59">
        <v>0.5</v>
      </c>
      <c r="G159" s="66">
        <f t="shared" si="40"/>
        <v>201.63408838302436</v>
      </c>
      <c r="H159" s="60">
        <f t="shared" si="39"/>
        <v>0.10081704419151218</v>
      </c>
    </row>
    <row r="160" spans="1:8" ht="12.75">
      <c r="A160" s="85" t="str">
        <f t="shared" si="36"/>
        <v>Aug</v>
      </c>
      <c r="B160" s="57">
        <f>'INPUT 1 - 2013 MATERIAL USAGE'!I8*'% PRODUCTION'!$F$7</f>
        <v>0</v>
      </c>
      <c r="C160" s="57">
        <v>6.5</v>
      </c>
      <c r="D160" s="57">
        <f t="shared" si="37"/>
        <v>0</v>
      </c>
      <c r="E160" s="57">
        <f t="shared" si="38"/>
        <v>0</v>
      </c>
      <c r="F160" s="59">
        <v>0.5</v>
      </c>
      <c r="G160" s="66">
        <f t="shared" si="40"/>
        <v>0</v>
      </c>
      <c r="H160" s="60">
        <f t="shared" si="39"/>
        <v>0</v>
      </c>
    </row>
    <row r="161" spans="1:8" ht="12.75">
      <c r="A161" s="85" t="str">
        <f t="shared" si="36"/>
        <v>Sep</v>
      </c>
      <c r="B161" s="57">
        <f>'INPUT 1 - 2013 MATERIAL USAGE'!J8*'% PRODUCTION'!$F$7</f>
        <v>0</v>
      </c>
      <c r="C161" s="57">
        <v>6.5</v>
      </c>
      <c r="D161" s="57">
        <f t="shared" si="37"/>
        <v>0</v>
      </c>
      <c r="E161" s="57">
        <f t="shared" si="38"/>
        <v>0</v>
      </c>
      <c r="F161" s="59">
        <v>0.5</v>
      </c>
      <c r="G161" s="66">
        <f t="shared" si="40"/>
        <v>0</v>
      </c>
      <c r="H161" s="60">
        <f t="shared" si="39"/>
        <v>0</v>
      </c>
    </row>
    <row r="162" spans="1:8" ht="12.75">
      <c r="A162" s="85" t="str">
        <f t="shared" si="36"/>
        <v>Oct</v>
      </c>
      <c r="B162" s="57">
        <f>'INPUT 1 - 2013 MATERIAL USAGE'!K8*'% PRODUCTION'!$F$7</f>
        <v>0</v>
      </c>
      <c r="C162" s="57">
        <v>6.5</v>
      </c>
      <c r="D162" s="57">
        <f t="shared" si="37"/>
        <v>0</v>
      </c>
      <c r="E162" s="57">
        <f t="shared" si="38"/>
        <v>0</v>
      </c>
      <c r="F162" s="59">
        <v>0.5</v>
      </c>
      <c r="G162" s="66">
        <f t="shared" si="40"/>
        <v>0</v>
      </c>
      <c r="H162" s="60">
        <f t="shared" si="39"/>
        <v>0</v>
      </c>
    </row>
    <row r="163" spans="1:8" ht="12.75">
      <c r="A163" s="85" t="str">
        <f t="shared" si="36"/>
        <v>Nov</v>
      </c>
      <c r="B163" s="57">
        <f>'INPUT 1 - 2013 MATERIAL USAGE'!L8*'% PRODUCTION'!$F$7</f>
        <v>0</v>
      </c>
      <c r="C163" s="57">
        <v>6.5</v>
      </c>
      <c r="D163" s="57">
        <f t="shared" si="37"/>
        <v>0</v>
      </c>
      <c r="E163" s="57">
        <f t="shared" si="38"/>
        <v>0</v>
      </c>
      <c r="F163" s="59">
        <v>0.5</v>
      </c>
      <c r="G163" s="66">
        <f t="shared" si="40"/>
        <v>0</v>
      </c>
      <c r="H163" s="60">
        <f t="shared" si="39"/>
        <v>0</v>
      </c>
    </row>
    <row r="164" spans="1:8" ht="13.5" thickBot="1">
      <c r="A164" s="85" t="str">
        <f t="shared" si="36"/>
        <v>Dec</v>
      </c>
      <c r="B164" s="57">
        <f>'INPUT 1 - 2013 MATERIAL USAGE'!M8*'% PRODUCTION'!$F$7</f>
        <v>0</v>
      </c>
      <c r="C164" s="57">
        <v>6.5</v>
      </c>
      <c r="D164" s="57">
        <f t="shared" si="37"/>
        <v>0</v>
      </c>
      <c r="E164" s="57">
        <f t="shared" si="38"/>
        <v>0</v>
      </c>
      <c r="F164" s="59">
        <v>0.5</v>
      </c>
      <c r="G164" s="66">
        <f t="shared" si="40"/>
        <v>0</v>
      </c>
      <c r="H164" s="60">
        <f t="shared" si="39"/>
        <v>0</v>
      </c>
    </row>
    <row r="165" spans="1:8" ht="14.25" thickBot="1" thickTop="1">
      <c r="A165" s="61" t="s">
        <v>11</v>
      </c>
      <c r="B165" s="70">
        <f>SUM(B153:B164)</f>
        <v>641.0929989614108</v>
      </c>
      <c r="C165" s="70"/>
      <c r="D165" s="70">
        <f>SUM(D153:D164)</f>
        <v>4440.210110806732</v>
      </c>
      <c r="E165" s="70">
        <f>SUM(E153:E164)</f>
        <v>4167.10449324917</v>
      </c>
      <c r="F165" s="70"/>
      <c r="G165" s="70">
        <f>SUM(G153:G164)</f>
        <v>2083.552246624585</v>
      </c>
      <c r="H165" s="71">
        <f>SUM(H153:H164)</f>
        <v>1.0417761233122926</v>
      </c>
    </row>
    <row r="166" spans="1:8" ht="12.75">
      <c r="A166" s="29"/>
      <c r="B166" s="51"/>
      <c r="C166" s="51"/>
      <c r="D166" s="51"/>
      <c r="E166" s="51"/>
      <c r="F166" s="51"/>
      <c r="G166" s="51"/>
      <c r="H166" s="51"/>
    </row>
    <row r="167" spans="1:8" ht="13.5" thickBot="1">
      <c r="A167" s="29"/>
      <c r="B167" s="51"/>
      <c r="C167" s="51"/>
      <c r="D167" s="51"/>
      <c r="E167" s="51"/>
      <c r="F167" s="51"/>
      <c r="G167" s="51"/>
      <c r="H167" s="51"/>
    </row>
    <row r="168" spans="1:8" ht="13.5" thickBot="1">
      <c r="A168" s="439" t="s">
        <v>179</v>
      </c>
      <c r="B168" s="440"/>
      <c r="C168" s="440"/>
      <c r="D168" s="440"/>
      <c r="E168" s="440"/>
      <c r="F168" s="440"/>
      <c r="G168" s="440"/>
      <c r="H168" s="441"/>
    </row>
    <row r="169" spans="1:8" ht="24.75" thickBot="1">
      <c r="A169" s="46" t="s">
        <v>6</v>
      </c>
      <c r="B169" s="47" t="s">
        <v>7</v>
      </c>
      <c r="C169" s="47" t="s">
        <v>8</v>
      </c>
      <c r="D169" s="47" t="s">
        <v>9</v>
      </c>
      <c r="E169" s="48" t="s">
        <v>10</v>
      </c>
      <c r="F169" s="48" t="s">
        <v>3</v>
      </c>
      <c r="G169" s="200" t="s">
        <v>4</v>
      </c>
      <c r="H169" s="48" t="s">
        <v>5</v>
      </c>
    </row>
    <row r="170" spans="1:8" ht="13.5" thickBot="1">
      <c r="A170" s="392" t="s">
        <v>54</v>
      </c>
      <c r="B170" s="393"/>
      <c r="C170" s="393"/>
      <c r="D170" s="393"/>
      <c r="E170" s="393"/>
      <c r="F170" s="393"/>
      <c r="G170" s="393"/>
      <c r="H170" s="394"/>
    </row>
    <row r="171" spans="1:8" ht="12.75">
      <c r="A171" s="85" t="str">
        <f aca="true" t="shared" si="41" ref="A171:A182">A205</f>
        <v>Jan</v>
      </c>
      <c r="B171" s="57">
        <f>'INPUT 1 - 2013 MATERIAL USAGE'!B9*'% PRODUCTION'!F5</f>
        <v>0</v>
      </c>
      <c r="C171" s="57">
        <v>3.54</v>
      </c>
      <c r="D171" s="57">
        <f aca="true" t="shared" si="42" ref="D171:D182">B171*6.926</f>
        <v>0</v>
      </c>
      <c r="E171" s="57">
        <f aca="true" t="shared" si="43" ref="E171:E182">B171*C171</f>
        <v>0</v>
      </c>
      <c r="F171" s="59">
        <v>1</v>
      </c>
      <c r="G171" s="66">
        <f>E171*F171</f>
        <v>0</v>
      </c>
      <c r="H171" s="60">
        <f aca="true" t="shared" si="44" ref="H171:H182">G171/2000</f>
        <v>0</v>
      </c>
    </row>
    <row r="172" spans="1:8" ht="12.75">
      <c r="A172" s="85" t="str">
        <f t="shared" si="41"/>
        <v>Feb</v>
      </c>
      <c r="B172" s="57">
        <f>'INPUT 1 - 2013 MATERIAL USAGE'!C9*'% PRODUCTION'!F5</f>
        <v>47.88927559590063</v>
      </c>
      <c r="C172" s="57">
        <v>3.54</v>
      </c>
      <c r="D172" s="57">
        <f t="shared" si="42"/>
        <v>331.68112277720775</v>
      </c>
      <c r="E172" s="57">
        <f t="shared" si="43"/>
        <v>169.52803560948823</v>
      </c>
      <c r="F172" s="59">
        <v>1</v>
      </c>
      <c r="G172" s="66">
        <f aca="true" t="shared" si="45" ref="G172:G182">E172*F172</f>
        <v>169.52803560948823</v>
      </c>
      <c r="H172" s="60">
        <f t="shared" si="44"/>
        <v>0.08476401780474412</v>
      </c>
    </row>
    <row r="173" spans="1:8" ht="12.75">
      <c r="A173" s="85" t="str">
        <f t="shared" si="41"/>
        <v>Mar</v>
      </c>
      <c r="B173" s="57">
        <f>'INPUT 1 - 2013 MATERIAL USAGE'!D9*'% PRODUCTION'!F5</f>
        <v>0</v>
      </c>
      <c r="C173" s="57">
        <v>3.54</v>
      </c>
      <c r="D173" s="57">
        <f t="shared" si="42"/>
        <v>0</v>
      </c>
      <c r="E173" s="57">
        <f t="shared" si="43"/>
        <v>0</v>
      </c>
      <c r="F173" s="59">
        <v>1</v>
      </c>
      <c r="G173" s="66">
        <f t="shared" si="45"/>
        <v>0</v>
      </c>
      <c r="H173" s="60">
        <f t="shared" si="44"/>
        <v>0</v>
      </c>
    </row>
    <row r="174" spans="1:8" ht="12.75">
      <c r="A174" s="85" t="str">
        <f t="shared" si="41"/>
        <v>Apr</v>
      </c>
      <c r="B174" s="57">
        <f>'INPUT 1 - 2013 MATERIAL USAGE'!E9*'% PRODUCTION'!F5</f>
        <v>23.944637797950314</v>
      </c>
      <c r="C174" s="57">
        <v>3.54</v>
      </c>
      <c r="D174" s="57">
        <f t="shared" si="42"/>
        <v>165.84056138860387</v>
      </c>
      <c r="E174" s="57">
        <f t="shared" si="43"/>
        <v>84.76401780474411</v>
      </c>
      <c r="F174" s="59">
        <v>1</v>
      </c>
      <c r="G174" s="66">
        <f t="shared" si="45"/>
        <v>84.76401780474411</v>
      </c>
      <c r="H174" s="60">
        <f t="shared" si="44"/>
        <v>0.04238200890237206</v>
      </c>
    </row>
    <row r="175" spans="1:8" ht="12.75">
      <c r="A175" s="85" t="str">
        <f t="shared" si="41"/>
        <v>May</v>
      </c>
      <c r="B175" s="57">
        <f>'INPUT 1 - 2013 MATERIAL USAGE'!F9*'% PRODUCTION'!F5</f>
        <v>0</v>
      </c>
      <c r="C175" s="57">
        <v>3.54</v>
      </c>
      <c r="D175" s="57">
        <f t="shared" si="42"/>
        <v>0</v>
      </c>
      <c r="E175" s="57">
        <f t="shared" si="43"/>
        <v>0</v>
      </c>
      <c r="F175" s="59">
        <v>1</v>
      </c>
      <c r="G175" s="66">
        <f t="shared" si="45"/>
        <v>0</v>
      </c>
      <c r="H175" s="60">
        <f t="shared" si="44"/>
        <v>0</v>
      </c>
    </row>
    <row r="176" spans="1:8" ht="12.75">
      <c r="A176" s="85" t="str">
        <f t="shared" si="41"/>
        <v>Jun</v>
      </c>
      <c r="B176" s="57">
        <f>'INPUT 1 - 2013 MATERIAL USAGE'!G9*'% PRODUCTION'!$F$5</f>
        <v>0</v>
      </c>
      <c r="C176" s="57">
        <v>3.54</v>
      </c>
      <c r="D176" s="57">
        <f t="shared" si="42"/>
        <v>0</v>
      </c>
      <c r="E176" s="57">
        <f t="shared" si="43"/>
        <v>0</v>
      </c>
      <c r="F176" s="59">
        <v>1</v>
      </c>
      <c r="G176" s="66">
        <f t="shared" si="45"/>
        <v>0</v>
      </c>
      <c r="H176" s="60">
        <f t="shared" si="44"/>
        <v>0</v>
      </c>
    </row>
    <row r="177" spans="1:8" ht="12.75">
      <c r="A177" s="85" t="str">
        <f t="shared" si="41"/>
        <v>Jul</v>
      </c>
      <c r="B177" s="57">
        <f>'INPUT 1 - 2013 MATERIAL USAGE'!H9*'% PRODUCTION'!$F$5</f>
        <v>23.944637797950314</v>
      </c>
      <c r="C177" s="57">
        <v>3.54</v>
      </c>
      <c r="D177" s="57">
        <f t="shared" si="42"/>
        <v>165.84056138860387</v>
      </c>
      <c r="E177" s="57">
        <f t="shared" si="43"/>
        <v>84.76401780474411</v>
      </c>
      <c r="F177" s="59">
        <v>1</v>
      </c>
      <c r="G177" s="66">
        <f t="shared" si="45"/>
        <v>84.76401780474411</v>
      </c>
      <c r="H177" s="60">
        <f t="shared" si="44"/>
        <v>0.04238200890237206</v>
      </c>
    </row>
    <row r="178" spans="1:8" ht="12.75">
      <c r="A178" s="85" t="str">
        <f t="shared" si="41"/>
        <v>Aug</v>
      </c>
      <c r="B178" s="57">
        <f>'INPUT 1 - 2013 MATERIAL USAGE'!I9*'% PRODUCTION'!$F$5</f>
        <v>0</v>
      </c>
      <c r="C178" s="57">
        <v>3.54</v>
      </c>
      <c r="D178" s="57">
        <f t="shared" si="42"/>
        <v>0</v>
      </c>
      <c r="E178" s="57">
        <f t="shared" si="43"/>
        <v>0</v>
      </c>
      <c r="F178" s="59">
        <v>1</v>
      </c>
      <c r="G178" s="66">
        <f t="shared" si="45"/>
        <v>0</v>
      </c>
      <c r="H178" s="60">
        <f t="shared" si="44"/>
        <v>0</v>
      </c>
    </row>
    <row r="179" spans="1:8" ht="12.75">
      <c r="A179" s="85" t="str">
        <f t="shared" si="41"/>
        <v>Sep</v>
      </c>
      <c r="B179" s="57">
        <f>'INPUT 1 - 2013 MATERIAL USAGE'!J9*'% PRODUCTION'!$F$5</f>
        <v>0</v>
      </c>
      <c r="C179" s="57">
        <v>3.54</v>
      </c>
      <c r="D179" s="57">
        <f t="shared" si="42"/>
        <v>0</v>
      </c>
      <c r="E179" s="57">
        <f t="shared" si="43"/>
        <v>0</v>
      </c>
      <c r="F179" s="59">
        <v>1</v>
      </c>
      <c r="G179" s="66">
        <f t="shared" si="45"/>
        <v>0</v>
      </c>
      <c r="H179" s="60">
        <f t="shared" si="44"/>
        <v>0</v>
      </c>
    </row>
    <row r="180" spans="1:8" ht="12.75">
      <c r="A180" s="85" t="str">
        <f t="shared" si="41"/>
        <v>Oct</v>
      </c>
      <c r="B180" s="57">
        <f>'INPUT 1 - 2013 MATERIAL USAGE'!K9*'% PRODUCTION'!$F$5</f>
        <v>0</v>
      </c>
      <c r="C180" s="57">
        <v>3.54</v>
      </c>
      <c r="D180" s="57">
        <f t="shared" si="42"/>
        <v>0</v>
      </c>
      <c r="E180" s="57">
        <f t="shared" si="43"/>
        <v>0</v>
      </c>
      <c r="F180" s="59">
        <v>1</v>
      </c>
      <c r="G180" s="66">
        <f t="shared" si="45"/>
        <v>0</v>
      </c>
      <c r="H180" s="60">
        <f t="shared" si="44"/>
        <v>0</v>
      </c>
    </row>
    <row r="181" spans="1:8" ht="12.75">
      <c r="A181" s="85" t="str">
        <f t="shared" si="41"/>
        <v>Nov</v>
      </c>
      <c r="B181" s="57">
        <f>'INPUT 1 - 2013 MATERIAL USAGE'!L9*'% PRODUCTION'!$F$5</f>
        <v>0</v>
      </c>
      <c r="C181" s="57">
        <v>3.54</v>
      </c>
      <c r="D181" s="57">
        <f t="shared" si="42"/>
        <v>0</v>
      </c>
      <c r="E181" s="57">
        <f t="shared" si="43"/>
        <v>0</v>
      </c>
      <c r="F181" s="59">
        <v>1</v>
      </c>
      <c r="G181" s="66">
        <f t="shared" si="45"/>
        <v>0</v>
      </c>
      <c r="H181" s="60">
        <f t="shared" si="44"/>
        <v>0</v>
      </c>
    </row>
    <row r="182" spans="1:8" ht="13.5" thickBot="1">
      <c r="A182" s="85" t="str">
        <f t="shared" si="41"/>
        <v>Dec</v>
      </c>
      <c r="B182" s="57">
        <f>'INPUT 1 - 2013 MATERIAL USAGE'!M9*'% PRODUCTION'!$F$5</f>
        <v>0</v>
      </c>
      <c r="C182" s="57">
        <v>3.54</v>
      </c>
      <c r="D182" s="57">
        <f t="shared" si="42"/>
        <v>0</v>
      </c>
      <c r="E182" s="57">
        <f t="shared" si="43"/>
        <v>0</v>
      </c>
      <c r="F182" s="59">
        <v>1</v>
      </c>
      <c r="G182" s="66">
        <f t="shared" si="45"/>
        <v>0</v>
      </c>
      <c r="H182" s="60">
        <f t="shared" si="44"/>
        <v>0</v>
      </c>
    </row>
    <row r="183" spans="1:8" ht="14.25" thickBot="1" thickTop="1">
      <c r="A183" s="61" t="s">
        <v>11</v>
      </c>
      <c r="B183" s="70">
        <f>SUM(B171:B182)</f>
        <v>95.77855119180126</v>
      </c>
      <c r="C183" s="70"/>
      <c r="D183" s="70">
        <f>SUM(D171:D182)</f>
        <v>663.3622455544155</v>
      </c>
      <c r="E183" s="70">
        <f>SUM(E171:E182)</f>
        <v>339.05607121897646</v>
      </c>
      <c r="F183" s="70"/>
      <c r="G183" s="70">
        <f>SUM(G171:G182)</f>
        <v>339.05607121897646</v>
      </c>
      <c r="H183" s="71">
        <f>SUM(H171:H182)</f>
        <v>0.16952803560948823</v>
      </c>
    </row>
    <row r="184" spans="1:8" ht="13.5" thickBot="1">
      <c r="A184" s="29"/>
      <c r="B184" s="51"/>
      <c r="C184" s="51"/>
      <c r="D184" s="51"/>
      <c r="E184" s="51"/>
      <c r="F184" s="51"/>
      <c r="G184" s="51"/>
      <c r="H184" s="51"/>
    </row>
    <row r="185" spans="1:8" ht="13.5" thickBot="1">
      <c r="A185" s="439" t="s">
        <v>180</v>
      </c>
      <c r="B185" s="440"/>
      <c r="C185" s="440"/>
      <c r="D185" s="440"/>
      <c r="E185" s="440"/>
      <c r="F185" s="440"/>
      <c r="G185" s="440"/>
      <c r="H185" s="441"/>
    </row>
    <row r="186" spans="1:8" ht="24.75" thickBot="1">
      <c r="A186" s="15" t="s">
        <v>6</v>
      </c>
      <c r="B186" s="16" t="s">
        <v>7</v>
      </c>
      <c r="C186" s="16" t="s">
        <v>8</v>
      </c>
      <c r="D186" s="16" t="s">
        <v>9</v>
      </c>
      <c r="E186" s="17" t="s">
        <v>10</v>
      </c>
      <c r="F186" s="17" t="s">
        <v>3</v>
      </c>
      <c r="G186" s="199" t="s">
        <v>4</v>
      </c>
      <c r="H186" s="17" t="s">
        <v>5</v>
      </c>
    </row>
    <row r="187" spans="1:8" ht="13.5" thickBot="1">
      <c r="A187" s="392" t="s">
        <v>54</v>
      </c>
      <c r="B187" s="393"/>
      <c r="C187" s="393"/>
      <c r="D187" s="393"/>
      <c r="E187" s="393"/>
      <c r="F187" s="393"/>
      <c r="G187" s="393"/>
      <c r="H187" s="394"/>
    </row>
    <row r="188" spans="1:8" ht="12.75">
      <c r="A188" s="85" t="str">
        <f>A171</f>
        <v>Jan</v>
      </c>
      <c r="B188" s="57">
        <f>'INPUT 1 - 2013 MATERIAL USAGE'!B9*'% PRODUCTION'!F6</f>
        <v>0</v>
      </c>
      <c r="C188" s="57">
        <v>3.54</v>
      </c>
      <c r="D188" s="57">
        <f aca="true" t="shared" si="46" ref="D188:D199">B188*6.926</f>
        <v>0</v>
      </c>
      <c r="E188" s="57">
        <f>B188*C188</f>
        <v>0</v>
      </c>
      <c r="F188" s="59">
        <f>F171</f>
        <v>1</v>
      </c>
      <c r="G188" s="66">
        <f>E188*F188</f>
        <v>0</v>
      </c>
      <c r="H188" s="60">
        <f aca="true" t="shared" si="47" ref="H188:H199">G188/2000</f>
        <v>0</v>
      </c>
    </row>
    <row r="189" spans="1:8" ht="12.75">
      <c r="A189" s="85" t="str">
        <f aca="true" t="shared" si="48" ref="A189:A199">A172</f>
        <v>Feb</v>
      </c>
      <c r="B189" s="57">
        <f>'INPUT 1 - 2013 MATERIAL USAGE'!C9*'% PRODUCTION'!F6</f>
        <v>20.749885761427706</v>
      </c>
      <c r="C189" s="57">
        <v>3.54</v>
      </c>
      <c r="D189" s="57">
        <f t="shared" si="46"/>
        <v>143.7137087836483</v>
      </c>
      <c r="E189" s="57">
        <f aca="true" t="shared" si="49" ref="E189:E199">B189*C189</f>
        <v>73.45459559545408</v>
      </c>
      <c r="F189" s="59">
        <f aca="true" t="shared" si="50" ref="F189:F199">F172</f>
        <v>1</v>
      </c>
      <c r="G189" s="66">
        <f aca="true" t="shared" si="51" ref="G189:G199">E189*F189</f>
        <v>73.45459559545408</v>
      </c>
      <c r="H189" s="60">
        <f t="shared" si="47"/>
        <v>0.03672729779772704</v>
      </c>
    </row>
    <row r="190" spans="1:8" ht="12.75">
      <c r="A190" s="85" t="str">
        <f t="shared" si="48"/>
        <v>Mar</v>
      </c>
      <c r="B190" s="57">
        <f>'INPUT 1 - 2013 MATERIAL USAGE'!D9*'% PRODUCTION'!F6</f>
        <v>0</v>
      </c>
      <c r="C190" s="57">
        <v>3.54</v>
      </c>
      <c r="D190" s="57">
        <f t="shared" si="46"/>
        <v>0</v>
      </c>
      <c r="E190" s="57">
        <f t="shared" si="49"/>
        <v>0</v>
      </c>
      <c r="F190" s="59">
        <f t="shared" si="50"/>
        <v>1</v>
      </c>
      <c r="G190" s="66">
        <f t="shared" si="51"/>
        <v>0</v>
      </c>
      <c r="H190" s="60">
        <f t="shared" si="47"/>
        <v>0</v>
      </c>
    </row>
    <row r="191" spans="1:8" ht="12.75">
      <c r="A191" s="85" t="str">
        <f t="shared" si="48"/>
        <v>Apr</v>
      </c>
      <c r="B191" s="57">
        <f>'INPUT 1 - 2013 MATERIAL USAGE'!E9*'% PRODUCTION'!F6</f>
        <v>10.374942880713853</v>
      </c>
      <c r="C191" s="57">
        <v>3.54</v>
      </c>
      <c r="D191" s="57">
        <f t="shared" si="46"/>
        <v>71.85685439182414</v>
      </c>
      <c r="E191" s="57">
        <f t="shared" si="49"/>
        <v>36.72729779772704</v>
      </c>
      <c r="F191" s="59">
        <f t="shared" si="50"/>
        <v>1</v>
      </c>
      <c r="G191" s="66">
        <f t="shared" si="51"/>
        <v>36.72729779772704</v>
      </c>
      <c r="H191" s="60">
        <f t="shared" si="47"/>
        <v>0.01836364889886352</v>
      </c>
    </row>
    <row r="192" spans="1:8" ht="12.75">
      <c r="A192" s="85" t="str">
        <f t="shared" si="48"/>
        <v>May</v>
      </c>
      <c r="B192" s="57">
        <f>'INPUT 1 - 2013 MATERIAL USAGE'!F9*'% PRODUCTION'!F6</f>
        <v>0</v>
      </c>
      <c r="C192" s="57">
        <v>3.54</v>
      </c>
      <c r="D192" s="57">
        <f t="shared" si="46"/>
        <v>0</v>
      </c>
      <c r="E192" s="57">
        <f t="shared" si="49"/>
        <v>0</v>
      </c>
      <c r="F192" s="59">
        <f t="shared" si="50"/>
        <v>1</v>
      </c>
      <c r="G192" s="66">
        <f t="shared" si="51"/>
        <v>0</v>
      </c>
      <c r="H192" s="60">
        <f t="shared" si="47"/>
        <v>0</v>
      </c>
    </row>
    <row r="193" spans="1:8" ht="12.75">
      <c r="A193" s="85" t="str">
        <f t="shared" si="48"/>
        <v>Jun</v>
      </c>
      <c r="B193" s="57">
        <f>'INPUT 1 - 2013 MATERIAL USAGE'!G9*'% PRODUCTION'!$F$6</f>
        <v>0</v>
      </c>
      <c r="C193" s="57">
        <v>3.54</v>
      </c>
      <c r="D193" s="57">
        <f t="shared" si="46"/>
        <v>0</v>
      </c>
      <c r="E193" s="57">
        <f t="shared" si="49"/>
        <v>0</v>
      </c>
      <c r="F193" s="59">
        <f t="shared" si="50"/>
        <v>1</v>
      </c>
      <c r="G193" s="66">
        <f t="shared" si="51"/>
        <v>0</v>
      </c>
      <c r="H193" s="60">
        <f t="shared" si="47"/>
        <v>0</v>
      </c>
    </row>
    <row r="194" spans="1:8" ht="12.75">
      <c r="A194" s="85" t="str">
        <f t="shared" si="48"/>
        <v>Jul</v>
      </c>
      <c r="B194" s="57">
        <f>'INPUT 1 - 2013 MATERIAL USAGE'!H9*'% PRODUCTION'!$F$6</f>
        <v>10.374942880713853</v>
      </c>
      <c r="C194" s="57">
        <v>3.54</v>
      </c>
      <c r="D194" s="57">
        <f t="shared" si="46"/>
        <v>71.85685439182414</v>
      </c>
      <c r="E194" s="57">
        <f t="shared" si="49"/>
        <v>36.72729779772704</v>
      </c>
      <c r="F194" s="59">
        <f t="shared" si="50"/>
        <v>1</v>
      </c>
      <c r="G194" s="66">
        <f t="shared" si="51"/>
        <v>36.72729779772704</v>
      </c>
      <c r="H194" s="60">
        <f t="shared" si="47"/>
        <v>0.01836364889886352</v>
      </c>
    </row>
    <row r="195" spans="1:8" ht="12.75">
      <c r="A195" s="85" t="str">
        <f t="shared" si="48"/>
        <v>Aug</v>
      </c>
      <c r="B195" s="57">
        <f>'INPUT 1 - 2013 MATERIAL USAGE'!I9*'% PRODUCTION'!$F$6</f>
        <v>0</v>
      </c>
      <c r="C195" s="57">
        <v>3.54</v>
      </c>
      <c r="D195" s="57">
        <f t="shared" si="46"/>
        <v>0</v>
      </c>
      <c r="E195" s="57">
        <f t="shared" si="49"/>
        <v>0</v>
      </c>
      <c r="F195" s="59">
        <f t="shared" si="50"/>
        <v>1</v>
      </c>
      <c r="G195" s="66">
        <f t="shared" si="51"/>
        <v>0</v>
      </c>
      <c r="H195" s="60">
        <f t="shared" si="47"/>
        <v>0</v>
      </c>
    </row>
    <row r="196" spans="1:8" ht="12.75">
      <c r="A196" s="85" t="str">
        <f t="shared" si="48"/>
        <v>Sep</v>
      </c>
      <c r="B196" s="57">
        <f>'INPUT 1 - 2013 MATERIAL USAGE'!J9*'% PRODUCTION'!$F$6</f>
        <v>0</v>
      </c>
      <c r="C196" s="57">
        <v>3.54</v>
      </c>
      <c r="D196" s="57">
        <f t="shared" si="46"/>
        <v>0</v>
      </c>
      <c r="E196" s="57">
        <f t="shared" si="49"/>
        <v>0</v>
      </c>
      <c r="F196" s="59">
        <f t="shared" si="50"/>
        <v>1</v>
      </c>
      <c r="G196" s="66">
        <f t="shared" si="51"/>
        <v>0</v>
      </c>
      <c r="H196" s="60">
        <f t="shared" si="47"/>
        <v>0</v>
      </c>
    </row>
    <row r="197" spans="1:8" ht="12.75">
      <c r="A197" s="85" t="str">
        <f t="shared" si="48"/>
        <v>Oct</v>
      </c>
      <c r="B197" s="57">
        <f>'INPUT 1 - 2013 MATERIAL USAGE'!K9*'% PRODUCTION'!$F$6</f>
        <v>0</v>
      </c>
      <c r="C197" s="57">
        <v>3.54</v>
      </c>
      <c r="D197" s="57">
        <f t="shared" si="46"/>
        <v>0</v>
      </c>
      <c r="E197" s="57">
        <f t="shared" si="49"/>
        <v>0</v>
      </c>
      <c r="F197" s="59">
        <f t="shared" si="50"/>
        <v>1</v>
      </c>
      <c r="G197" s="66">
        <f t="shared" si="51"/>
        <v>0</v>
      </c>
      <c r="H197" s="60">
        <f t="shared" si="47"/>
        <v>0</v>
      </c>
    </row>
    <row r="198" spans="1:8" ht="12.75">
      <c r="A198" s="85" t="str">
        <f t="shared" si="48"/>
        <v>Nov</v>
      </c>
      <c r="B198" s="57">
        <f>'INPUT 1 - 2013 MATERIAL USAGE'!L9*'% PRODUCTION'!$F$6</f>
        <v>0</v>
      </c>
      <c r="C198" s="57">
        <v>3.54</v>
      </c>
      <c r="D198" s="57">
        <f t="shared" si="46"/>
        <v>0</v>
      </c>
      <c r="E198" s="57">
        <f t="shared" si="49"/>
        <v>0</v>
      </c>
      <c r="F198" s="59">
        <f t="shared" si="50"/>
        <v>1</v>
      </c>
      <c r="G198" s="66">
        <f t="shared" si="51"/>
        <v>0</v>
      </c>
      <c r="H198" s="60">
        <f t="shared" si="47"/>
        <v>0</v>
      </c>
    </row>
    <row r="199" spans="1:8" ht="13.5" thickBot="1">
      <c r="A199" s="85" t="str">
        <f t="shared" si="48"/>
        <v>Dec</v>
      </c>
      <c r="B199" s="57">
        <f>'INPUT 1 - 2013 MATERIAL USAGE'!M9*'% PRODUCTION'!$F$6</f>
        <v>0</v>
      </c>
      <c r="C199" s="57">
        <v>3.54</v>
      </c>
      <c r="D199" s="57">
        <f t="shared" si="46"/>
        <v>0</v>
      </c>
      <c r="E199" s="57">
        <f t="shared" si="49"/>
        <v>0</v>
      </c>
      <c r="F199" s="59">
        <f t="shared" si="50"/>
        <v>1</v>
      </c>
      <c r="G199" s="66">
        <f t="shared" si="51"/>
        <v>0</v>
      </c>
      <c r="H199" s="60">
        <f t="shared" si="47"/>
        <v>0</v>
      </c>
    </row>
    <row r="200" spans="1:8" ht="14.25" thickBot="1" thickTop="1">
      <c r="A200" s="61" t="s">
        <v>11</v>
      </c>
      <c r="B200" s="70">
        <f>SUM(B188:B199)</f>
        <v>41.49977152285541</v>
      </c>
      <c r="C200" s="70"/>
      <c r="D200" s="70">
        <f>SUM(D188:D199)</f>
        <v>287.4274175672966</v>
      </c>
      <c r="E200" s="70">
        <f>SUM(E188:E199)</f>
        <v>146.90919119090816</v>
      </c>
      <c r="F200" s="70"/>
      <c r="G200" s="70">
        <f>SUM(G188:G199)</f>
        <v>146.90919119090816</v>
      </c>
      <c r="H200" s="71">
        <f>SUM(H188:H199)</f>
        <v>0.07345459559545409</v>
      </c>
    </row>
    <row r="201" spans="1:8" ht="13.5" thickBot="1">
      <c r="A201" s="29"/>
      <c r="B201" s="51"/>
      <c r="C201" s="51"/>
      <c r="D201" s="51"/>
      <c r="E201" s="51"/>
      <c r="F201" s="51"/>
      <c r="G201" s="51"/>
      <c r="H201" s="51"/>
    </row>
    <row r="202" spans="1:8" ht="13.5" thickBot="1">
      <c r="A202" s="389" t="s">
        <v>219</v>
      </c>
      <c r="B202" s="390"/>
      <c r="C202" s="390"/>
      <c r="D202" s="390"/>
      <c r="E202" s="390"/>
      <c r="F202" s="390"/>
      <c r="G202" s="390"/>
      <c r="H202" s="391"/>
    </row>
    <row r="203" spans="1:8" ht="24.75" thickBot="1">
      <c r="A203" s="46" t="s">
        <v>6</v>
      </c>
      <c r="B203" s="47" t="s">
        <v>7</v>
      </c>
      <c r="C203" s="47" t="s">
        <v>8</v>
      </c>
      <c r="D203" s="47" t="s">
        <v>9</v>
      </c>
      <c r="E203" s="48" t="s">
        <v>10</v>
      </c>
      <c r="F203" s="48" t="s">
        <v>3</v>
      </c>
      <c r="G203" s="200" t="s">
        <v>4</v>
      </c>
      <c r="H203" s="48" t="s">
        <v>5</v>
      </c>
    </row>
    <row r="204" spans="1:8" ht="13.5" thickBot="1">
      <c r="A204" s="392" t="s">
        <v>54</v>
      </c>
      <c r="B204" s="393"/>
      <c r="C204" s="393"/>
      <c r="D204" s="393"/>
      <c r="E204" s="393"/>
      <c r="F204" s="393"/>
      <c r="G204" s="393"/>
      <c r="H204" s="394"/>
    </row>
    <row r="205" spans="1:8" ht="12.75">
      <c r="A205" s="85" t="str">
        <f aca="true" t="shared" si="52" ref="A205:A216">A136</f>
        <v>Jan</v>
      </c>
      <c r="B205" s="57">
        <f>'INPUT 1 - 2013 MATERIAL USAGE'!B9*'% PRODUCTION'!F7</f>
        <v>0</v>
      </c>
      <c r="C205" s="57">
        <v>3.54</v>
      </c>
      <c r="D205" s="57">
        <f aca="true" t="shared" si="53" ref="D205:D216">B205*6.926</f>
        <v>0</v>
      </c>
      <c r="E205" s="57">
        <f aca="true" t="shared" si="54" ref="E205:E216">B205*C205</f>
        <v>0</v>
      </c>
      <c r="F205" s="59">
        <v>1</v>
      </c>
      <c r="G205" s="66">
        <f>E205*F205</f>
        <v>0</v>
      </c>
      <c r="H205" s="60">
        <f aca="true" t="shared" si="55" ref="H205:H216">G205/2000</f>
        <v>0</v>
      </c>
    </row>
    <row r="206" spans="1:8" ht="12.75">
      <c r="A206" s="85" t="str">
        <f t="shared" si="52"/>
        <v>Feb</v>
      </c>
      <c r="B206" s="57">
        <f>'INPUT 1 - 2013 MATERIAL USAGE'!C9*'% PRODUCTION'!F7</f>
        <v>41.360838642671666</v>
      </c>
      <c r="C206" s="57">
        <v>3.54</v>
      </c>
      <c r="D206" s="57">
        <f t="shared" si="53"/>
        <v>286.46516843914395</v>
      </c>
      <c r="E206" s="57">
        <f t="shared" si="54"/>
        <v>146.4173687950577</v>
      </c>
      <c r="F206" s="59">
        <v>1</v>
      </c>
      <c r="G206" s="66">
        <f aca="true" t="shared" si="56" ref="G206:G216">E206*F206</f>
        <v>146.4173687950577</v>
      </c>
      <c r="H206" s="60">
        <f t="shared" si="55"/>
        <v>0.07320868439752885</v>
      </c>
    </row>
    <row r="207" spans="1:8" ht="12.75">
      <c r="A207" s="85" t="str">
        <f t="shared" si="52"/>
        <v>Mar</v>
      </c>
      <c r="B207" s="57">
        <f>'INPUT 1 - 2013 MATERIAL USAGE'!D9*'% PRODUCTION'!F7</f>
        <v>0</v>
      </c>
      <c r="C207" s="57">
        <v>3.54</v>
      </c>
      <c r="D207" s="57">
        <f t="shared" si="53"/>
        <v>0</v>
      </c>
      <c r="E207" s="57">
        <f t="shared" si="54"/>
        <v>0</v>
      </c>
      <c r="F207" s="59">
        <v>1</v>
      </c>
      <c r="G207" s="66">
        <f t="shared" si="56"/>
        <v>0</v>
      </c>
      <c r="H207" s="60">
        <f t="shared" si="55"/>
        <v>0</v>
      </c>
    </row>
    <row r="208" spans="1:8" ht="12.75">
      <c r="A208" s="85" t="str">
        <f t="shared" si="52"/>
        <v>Apr</v>
      </c>
      <c r="B208" s="57">
        <f>'INPUT 1 - 2013 MATERIAL USAGE'!E9*'% PRODUCTION'!F7</f>
        <v>20.680419321335833</v>
      </c>
      <c r="C208" s="57">
        <v>3.54</v>
      </c>
      <c r="D208" s="57">
        <f t="shared" si="53"/>
        <v>143.23258421957198</v>
      </c>
      <c r="E208" s="57">
        <f t="shared" si="54"/>
        <v>73.20868439752886</v>
      </c>
      <c r="F208" s="59">
        <v>1</v>
      </c>
      <c r="G208" s="66">
        <f t="shared" si="56"/>
        <v>73.20868439752886</v>
      </c>
      <c r="H208" s="60">
        <f t="shared" si="55"/>
        <v>0.03660434219876443</v>
      </c>
    </row>
    <row r="209" spans="1:8" ht="12.75">
      <c r="A209" s="85" t="str">
        <f t="shared" si="52"/>
        <v>May</v>
      </c>
      <c r="B209" s="57">
        <f>'INPUT 1 - 2013 MATERIAL USAGE'!F9*'% PRODUCTION'!F7</f>
        <v>0</v>
      </c>
      <c r="C209" s="57">
        <v>3.54</v>
      </c>
      <c r="D209" s="57">
        <f t="shared" si="53"/>
        <v>0</v>
      </c>
      <c r="E209" s="57">
        <f t="shared" si="54"/>
        <v>0</v>
      </c>
      <c r="F209" s="59">
        <v>1</v>
      </c>
      <c r="G209" s="66">
        <f t="shared" si="56"/>
        <v>0</v>
      </c>
      <c r="H209" s="60">
        <f t="shared" si="55"/>
        <v>0</v>
      </c>
    </row>
    <row r="210" spans="1:8" ht="12.75">
      <c r="A210" s="85" t="str">
        <f t="shared" si="52"/>
        <v>Jun</v>
      </c>
      <c r="B210" s="57">
        <f>'INPUT 1 - 2013 MATERIAL USAGE'!G9*'% PRODUCTION'!$F$7</f>
        <v>0</v>
      </c>
      <c r="C210" s="57">
        <v>3.54</v>
      </c>
      <c r="D210" s="57">
        <f t="shared" si="53"/>
        <v>0</v>
      </c>
      <c r="E210" s="57">
        <f t="shared" si="54"/>
        <v>0</v>
      </c>
      <c r="F210" s="59">
        <v>1</v>
      </c>
      <c r="G210" s="66">
        <f t="shared" si="56"/>
        <v>0</v>
      </c>
      <c r="H210" s="60">
        <f t="shared" si="55"/>
        <v>0</v>
      </c>
    </row>
    <row r="211" spans="1:8" ht="12.75">
      <c r="A211" s="85" t="str">
        <f t="shared" si="52"/>
        <v>Jul</v>
      </c>
      <c r="B211" s="57">
        <f>'INPUT 1 - 2013 MATERIAL USAGE'!H9*'% PRODUCTION'!$F$7</f>
        <v>20.680419321335833</v>
      </c>
      <c r="C211" s="57">
        <v>3.54</v>
      </c>
      <c r="D211" s="57">
        <f t="shared" si="53"/>
        <v>143.23258421957198</v>
      </c>
      <c r="E211" s="57">
        <f t="shared" si="54"/>
        <v>73.20868439752886</v>
      </c>
      <c r="F211" s="59">
        <v>1</v>
      </c>
      <c r="G211" s="66">
        <f t="shared" si="56"/>
        <v>73.20868439752886</v>
      </c>
      <c r="H211" s="60">
        <f t="shared" si="55"/>
        <v>0.03660434219876443</v>
      </c>
    </row>
    <row r="212" spans="1:8" ht="12.75">
      <c r="A212" s="85" t="str">
        <f t="shared" si="52"/>
        <v>Aug</v>
      </c>
      <c r="B212" s="57">
        <f>'INPUT 1 - 2013 MATERIAL USAGE'!I9*'% PRODUCTION'!$F$7</f>
        <v>0</v>
      </c>
      <c r="C212" s="57">
        <v>3.54</v>
      </c>
      <c r="D212" s="57">
        <f t="shared" si="53"/>
        <v>0</v>
      </c>
      <c r="E212" s="57">
        <f t="shared" si="54"/>
        <v>0</v>
      </c>
      <c r="F212" s="59">
        <v>1</v>
      </c>
      <c r="G212" s="66">
        <f t="shared" si="56"/>
        <v>0</v>
      </c>
      <c r="H212" s="60">
        <f t="shared" si="55"/>
        <v>0</v>
      </c>
    </row>
    <row r="213" spans="1:8" ht="12.75">
      <c r="A213" s="85" t="str">
        <f t="shared" si="52"/>
        <v>Sep</v>
      </c>
      <c r="B213" s="57">
        <f>'INPUT 1 - 2013 MATERIAL USAGE'!J9*'% PRODUCTION'!$F$7</f>
        <v>0</v>
      </c>
      <c r="C213" s="57">
        <v>3.54</v>
      </c>
      <c r="D213" s="57">
        <f t="shared" si="53"/>
        <v>0</v>
      </c>
      <c r="E213" s="57">
        <f t="shared" si="54"/>
        <v>0</v>
      </c>
      <c r="F213" s="59">
        <v>1</v>
      </c>
      <c r="G213" s="66">
        <f t="shared" si="56"/>
        <v>0</v>
      </c>
      <c r="H213" s="60">
        <f t="shared" si="55"/>
        <v>0</v>
      </c>
    </row>
    <row r="214" spans="1:8" ht="12.75">
      <c r="A214" s="85" t="str">
        <f t="shared" si="52"/>
        <v>Oct</v>
      </c>
      <c r="B214" s="57">
        <f>'INPUT 1 - 2013 MATERIAL USAGE'!K9*'% PRODUCTION'!$F$7</f>
        <v>0</v>
      </c>
      <c r="C214" s="57">
        <v>3.54</v>
      </c>
      <c r="D214" s="57">
        <f t="shared" si="53"/>
        <v>0</v>
      </c>
      <c r="E214" s="57">
        <f t="shared" si="54"/>
        <v>0</v>
      </c>
      <c r="F214" s="59">
        <v>1</v>
      </c>
      <c r="G214" s="66">
        <f t="shared" si="56"/>
        <v>0</v>
      </c>
      <c r="H214" s="60">
        <f t="shared" si="55"/>
        <v>0</v>
      </c>
    </row>
    <row r="215" spans="1:8" ht="12.75">
      <c r="A215" s="85" t="str">
        <f t="shared" si="52"/>
        <v>Nov</v>
      </c>
      <c r="B215" s="57">
        <f>'INPUT 1 - 2013 MATERIAL USAGE'!L9*'% PRODUCTION'!$F$7</f>
        <v>0</v>
      </c>
      <c r="C215" s="57">
        <v>3.54</v>
      </c>
      <c r="D215" s="57">
        <f t="shared" si="53"/>
        <v>0</v>
      </c>
      <c r="E215" s="57">
        <f t="shared" si="54"/>
        <v>0</v>
      </c>
      <c r="F215" s="59">
        <v>1</v>
      </c>
      <c r="G215" s="66">
        <f t="shared" si="56"/>
        <v>0</v>
      </c>
      <c r="H215" s="60">
        <f t="shared" si="55"/>
        <v>0</v>
      </c>
    </row>
    <row r="216" spans="1:8" ht="13.5" thickBot="1">
      <c r="A216" s="85" t="str">
        <f t="shared" si="52"/>
        <v>Dec</v>
      </c>
      <c r="B216" s="57">
        <f>'INPUT 1 - 2013 MATERIAL USAGE'!M9*'% PRODUCTION'!$F$7</f>
        <v>0</v>
      </c>
      <c r="C216" s="57">
        <v>3.54</v>
      </c>
      <c r="D216" s="57">
        <f t="shared" si="53"/>
        <v>0</v>
      </c>
      <c r="E216" s="57">
        <f t="shared" si="54"/>
        <v>0</v>
      </c>
      <c r="F216" s="59">
        <v>1</v>
      </c>
      <c r="G216" s="66">
        <f t="shared" si="56"/>
        <v>0</v>
      </c>
      <c r="H216" s="60">
        <f t="shared" si="55"/>
        <v>0</v>
      </c>
    </row>
    <row r="217" spans="1:8" ht="14.25" thickBot="1" thickTop="1">
      <c r="A217" s="61" t="s">
        <v>11</v>
      </c>
      <c r="B217" s="70">
        <f>SUM(B205:B216)</f>
        <v>82.72167728534333</v>
      </c>
      <c r="C217" s="70"/>
      <c r="D217" s="70">
        <f>SUM(D205:D216)</f>
        <v>572.9303368782879</v>
      </c>
      <c r="E217" s="70">
        <f>SUM(E205:E216)</f>
        <v>292.8347375901154</v>
      </c>
      <c r="F217" s="70"/>
      <c r="G217" s="70">
        <f>SUM(G205:G216)</f>
        <v>292.8347375901154</v>
      </c>
      <c r="H217" s="71">
        <f>SUM(H205:H216)</f>
        <v>0.1464173687950577</v>
      </c>
    </row>
    <row r="218" spans="1:8" ht="13.5" thickBot="1">
      <c r="A218" s="29"/>
      <c r="B218" s="51"/>
      <c r="C218" s="51"/>
      <c r="D218" s="51"/>
      <c r="E218" s="51"/>
      <c r="F218" s="51"/>
      <c r="G218" s="51"/>
      <c r="H218" s="51"/>
    </row>
    <row r="219" spans="1:8" ht="13.5" thickBot="1">
      <c r="A219" s="389" t="s">
        <v>220</v>
      </c>
      <c r="B219" s="390"/>
      <c r="C219" s="390"/>
      <c r="D219" s="390"/>
      <c r="E219" s="390"/>
      <c r="F219" s="390"/>
      <c r="G219" s="390"/>
      <c r="H219" s="391"/>
    </row>
    <row r="220" spans="1:8" ht="24.75" thickBot="1">
      <c r="A220" s="46" t="s">
        <v>6</v>
      </c>
      <c r="B220" s="47" t="s">
        <v>7</v>
      </c>
      <c r="C220" s="47" t="s">
        <v>8</v>
      </c>
      <c r="D220" s="47" t="s">
        <v>9</v>
      </c>
      <c r="E220" s="48" t="s">
        <v>10</v>
      </c>
      <c r="F220" s="48" t="s">
        <v>3</v>
      </c>
      <c r="G220" s="200" t="s">
        <v>4</v>
      </c>
      <c r="H220" s="48" t="s">
        <v>5</v>
      </c>
    </row>
    <row r="221" spans="1:8" ht="13.5" thickBot="1">
      <c r="A221" s="392" t="s">
        <v>201</v>
      </c>
      <c r="B221" s="393"/>
      <c r="C221" s="393"/>
      <c r="D221" s="393"/>
      <c r="E221" s="393"/>
      <c r="F221" s="393"/>
      <c r="G221" s="393"/>
      <c r="H221" s="394"/>
    </row>
    <row r="222" spans="1:8" ht="12.75">
      <c r="A222" s="85" t="s">
        <v>136</v>
      </c>
      <c r="B222" s="57">
        <f>'INPUT 1 - 2013 MATERIAL USAGE'!B11</f>
        <v>20</v>
      </c>
      <c r="C222" s="57">
        <v>1.63</v>
      </c>
      <c r="D222" s="57">
        <f>C222*6.82</f>
        <v>11.1166</v>
      </c>
      <c r="E222" s="57">
        <f>B222*C222</f>
        <v>32.599999999999994</v>
      </c>
      <c r="F222" s="59">
        <v>1</v>
      </c>
      <c r="G222" s="66">
        <f>E222*F222</f>
        <v>32.599999999999994</v>
      </c>
      <c r="H222" s="60">
        <f>G222/2000</f>
        <v>0.0163</v>
      </c>
    </row>
    <row r="223" spans="1:8" ht="12.75">
      <c r="A223" s="85" t="s">
        <v>149</v>
      </c>
      <c r="B223" s="57">
        <f>'INPUT 1 - 2013 MATERIAL USAGE'!C11</f>
        <v>25</v>
      </c>
      <c r="C223" s="57">
        <v>1.63</v>
      </c>
      <c r="D223" s="57">
        <f aca="true" t="shared" si="57" ref="D223:D233">C223*6.82</f>
        <v>11.1166</v>
      </c>
      <c r="E223" s="57">
        <f aca="true" t="shared" si="58" ref="E223:E233">B223*C223</f>
        <v>40.75</v>
      </c>
      <c r="F223" s="59">
        <v>1</v>
      </c>
      <c r="G223" s="66">
        <f aca="true" t="shared" si="59" ref="G223:G233">E223*F223</f>
        <v>40.75</v>
      </c>
      <c r="H223" s="60">
        <f aca="true" t="shared" si="60" ref="H223:H233">G223/2000</f>
        <v>0.020375</v>
      </c>
    </row>
    <row r="224" spans="1:8" ht="12.75">
      <c r="A224" s="85" t="s">
        <v>150</v>
      </c>
      <c r="B224" s="57">
        <f>'INPUT 1 - 2013 MATERIAL USAGE'!D11</f>
        <v>15</v>
      </c>
      <c r="C224" s="57">
        <v>1.63</v>
      </c>
      <c r="D224" s="57">
        <f t="shared" si="57"/>
        <v>11.1166</v>
      </c>
      <c r="E224" s="57">
        <f t="shared" si="58"/>
        <v>24.45</v>
      </c>
      <c r="F224" s="59">
        <v>1</v>
      </c>
      <c r="G224" s="66">
        <f t="shared" si="59"/>
        <v>24.45</v>
      </c>
      <c r="H224" s="60">
        <f t="shared" si="60"/>
        <v>0.012225</v>
      </c>
    </row>
    <row r="225" spans="1:8" ht="12.75">
      <c r="A225" s="85" t="s">
        <v>140</v>
      </c>
      <c r="B225" s="57">
        <f>'INPUT 1 - 2013 MATERIAL USAGE'!E11</f>
        <v>15</v>
      </c>
      <c r="C225" s="57">
        <v>1.63</v>
      </c>
      <c r="D225" s="57">
        <f t="shared" si="57"/>
        <v>11.1166</v>
      </c>
      <c r="E225" s="57">
        <f t="shared" si="58"/>
        <v>24.45</v>
      </c>
      <c r="F225" s="59">
        <v>1</v>
      </c>
      <c r="G225" s="66">
        <f t="shared" si="59"/>
        <v>24.45</v>
      </c>
      <c r="H225" s="60">
        <f t="shared" si="60"/>
        <v>0.012225</v>
      </c>
    </row>
    <row r="226" spans="1:8" ht="12.75">
      <c r="A226" s="85" t="s">
        <v>141</v>
      </c>
      <c r="B226" s="57">
        <f>'INPUT 1 - 2013 MATERIAL USAGE'!F11</f>
        <v>15</v>
      </c>
      <c r="C226" s="57">
        <v>1.63</v>
      </c>
      <c r="D226" s="57">
        <f t="shared" si="57"/>
        <v>11.1166</v>
      </c>
      <c r="E226" s="57">
        <f t="shared" si="58"/>
        <v>24.45</v>
      </c>
      <c r="F226" s="59">
        <v>1</v>
      </c>
      <c r="G226" s="66">
        <f>E226*F226</f>
        <v>24.45</v>
      </c>
      <c r="H226" s="60">
        <f t="shared" si="60"/>
        <v>0.012225</v>
      </c>
    </row>
    <row r="227" spans="1:8" ht="12.75">
      <c r="A227" s="85" t="s">
        <v>151</v>
      </c>
      <c r="B227" s="57">
        <f>'INPUT 1 - 2013 MATERIAL USAGE'!G11</f>
        <v>15</v>
      </c>
      <c r="C227" s="57">
        <v>1.63</v>
      </c>
      <c r="D227" s="57">
        <f t="shared" si="57"/>
        <v>11.1166</v>
      </c>
      <c r="E227" s="57">
        <f t="shared" si="58"/>
        <v>24.45</v>
      </c>
      <c r="F227" s="59">
        <v>1</v>
      </c>
      <c r="G227" s="66">
        <f t="shared" si="59"/>
        <v>24.45</v>
      </c>
      <c r="H227" s="60">
        <f t="shared" si="60"/>
        <v>0.012225</v>
      </c>
    </row>
    <row r="228" spans="1:8" ht="12.75">
      <c r="A228" s="85" t="s">
        <v>152</v>
      </c>
      <c r="B228" s="57">
        <f>'INPUT 1 - 2013 MATERIAL USAGE'!H11</f>
        <v>0</v>
      </c>
      <c r="C228" s="57">
        <v>1.63</v>
      </c>
      <c r="D228" s="57">
        <f t="shared" si="57"/>
        <v>11.1166</v>
      </c>
      <c r="E228" s="57">
        <f t="shared" si="58"/>
        <v>0</v>
      </c>
      <c r="F228" s="59">
        <v>1</v>
      </c>
      <c r="G228" s="66">
        <f t="shared" si="59"/>
        <v>0</v>
      </c>
      <c r="H228" s="60">
        <f t="shared" si="60"/>
        <v>0</v>
      </c>
    </row>
    <row r="229" spans="1:8" ht="12.75">
      <c r="A229" s="85" t="s">
        <v>153</v>
      </c>
      <c r="B229" s="57">
        <f>'INPUT 1 - 2013 MATERIAL USAGE'!I11</f>
        <v>0</v>
      </c>
      <c r="C229" s="57">
        <v>1.63</v>
      </c>
      <c r="D229" s="57">
        <f t="shared" si="57"/>
        <v>11.1166</v>
      </c>
      <c r="E229" s="57">
        <f t="shared" si="58"/>
        <v>0</v>
      </c>
      <c r="F229" s="59">
        <v>1</v>
      </c>
      <c r="G229" s="66">
        <f t="shared" si="59"/>
        <v>0</v>
      </c>
      <c r="H229" s="60">
        <f t="shared" si="60"/>
        <v>0</v>
      </c>
    </row>
    <row r="230" spans="1:8" ht="12.75">
      <c r="A230" s="85" t="s">
        <v>145</v>
      </c>
      <c r="B230" s="57">
        <f>'INPUT 1 - 2013 MATERIAL USAGE'!J11</f>
        <v>0</v>
      </c>
      <c r="C230" s="57">
        <v>1.63</v>
      </c>
      <c r="D230" s="57">
        <f t="shared" si="57"/>
        <v>11.1166</v>
      </c>
      <c r="E230" s="57">
        <f t="shared" si="58"/>
        <v>0</v>
      </c>
      <c r="F230" s="59">
        <v>1</v>
      </c>
      <c r="G230" s="66">
        <f t="shared" si="59"/>
        <v>0</v>
      </c>
      <c r="H230" s="60">
        <f t="shared" si="60"/>
        <v>0</v>
      </c>
    </row>
    <row r="231" spans="1:8" ht="12.75">
      <c r="A231" s="85" t="s">
        <v>146</v>
      </c>
      <c r="B231" s="57">
        <f>'INPUT 1 - 2013 MATERIAL USAGE'!K11</f>
        <v>0</v>
      </c>
      <c r="C231" s="57">
        <v>1.63</v>
      </c>
      <c r="D231" s="57">
        <f t="shared" si="57"/>
        <v>11.1166</v>
      </c>
      <c r="E231" s="57">
        <f t="shared" si="58"/>
        <v>0</v>
      </c>
      <c r="F231" s="59">
        <v>1</v>
      </c>
      <c r="G231" s="66">
        <f t="shared" si="59"/>
        <v>0</v>
      </c>
      <c r="H231" s="60">
        <f t="shared" si="60"/>
        <v>0</v>
      </c>
    </row>
    <row r="232" spans="1:8" ht="12.75">
      <c r="A232" s="85" t="s">
        <v>154</v>
      </c>
      <c r="B232" s="57">
        <f>'INPUT 1 - 2013 MATERIAL USAGE'!L11</f>
        <v>0</v>
      </c>
      <c r="C232" s="57">
        <v>1.63</v>
      </c>
      <c r="D232" s="57">
        <f t="shared" si="57"/>
        <v>11.1166</v>
      </c>
      <c r="E232" s="57">
        <f t="shared" si="58"/>
        <v>0</v>
      </c>
      <c r="F232" s="59">
        <v>1</v>
      </c>
      <c r="G232" s="66">
        <f t="shared" si="59"/>
        <v>0</v>
      </c>
      <c r="H232" s="60">
        <f t="shared" si="60"/>
        <v>0</v>
      </c>
    </row>
    <row r="233" spans="1:8" ht="13.5" thickBot="1">
      <c r="A233" s="85" t="s">
        <v>148</v>
      </c>
      <c r="B233" s="57">
        <f>'INPUT 1 - 2013 MATERIAL USAGE'!M11</f>
        <v>0</v>
      </c>
      <c r="C233" s="57">
        <v>1.63</v>
      </c>
      <c r="D233" s="57">
        <f t="shared" si="57"/>
        <v>11.1166</v>
      </c>
      <c r="E233" s="57">
        <f t="shared" si="58"/>
        <v>0</v>
      </c>
      <c r="F233" s="59">
        <v>1</v>
      </c>
      <c r="G233" s="66">
        <f t="shared" si="59"/>
        <v>0</v>
      </c>
      <c r="H233" s="60">
        <f t="shared" si="60"/>
        <v>0</v>
      </c>
    </row>
    <row r="234" spans="1:8" ht="14.25" thickBot="1" thickTop="1">
      <c r="A234" s="61" t="s">
        <v>11</v>
      </c>
      <c r="B234" s="70">
        <f>SUM(B222:B233)</f>
        <v>105</v>
      </c>
      <c r="C234" s="70"/>
      <c r="D234" s="70">
        <f>SUM(D222:D233)</f>
        <v>133.39920000000004</v>
      </c>
      <c r="E234" s="70">
        <f>SUM(E222:E233)</f>
        <v>171.14999999999998</v>
      </c>
      <c r="F234" s="70"/>
      <c r="G234" s="70">
        <f>SUM(G222:G233)</f>
        <v>171.14999999999998</v>
      </c>
      <c r="H234" s="71">
        <f>SUM(H222:H233)</f>
        <v>0.085575</v>
      </c>
    </row>
    <row r="235" spans="1:8" ht="13.5" thickBot="1">
      <c r="A235" s="29"/>
      <c r="B235" s="51"/>
      <c r="C235" s="51"/>
      <c r="D235" s="51"/>
      <c r="E235" s="51"/>
      <c r="F235" s="51"/>
      <c r="G235" s="51"/>
      <c r="H235" s="51"/>
    </row>
    <row r="236" spans="1:14" ht="13.5" thickBot="1">
      <c r="A236" s="389" t="s">
        <v>202</v>
      </c>
      <c r="B236" s="390"/>
      <c r="C236" s="390"/>
      <c r="D236" s="390"/>
      <c r="E236" s="390"/>
      <c r="F236" s="390"/>
      <c r="G236" s="391"/>
      <c r="H236"/>
      <c r="I236"/>
      <c r="J236"/>
      <c r="N236"/>
    </row>
    <row r="237" spans="1:14" ht="24.75" thickBot="1">
      <c r="A237" s="46" t="s">
        <v>6</v>
      </c>
      <c r="B237" s="47" t="s">
        <v>204</v>
      </c>
      <c r="C237" s="47" t="s">
        <v>203</v>
      </c>
      <c r="D237" s="48" t="s">
        <v>10</v>
      </c>
      <c r="E237" s="48" t="s">
        <v>3</v>
      </c>
      <c r="F237" s="200" t="s">
        <v>4</v>
      </c>
      <c r="G237" s="48" t="s">
        <v>5</v>
      </c>
      <c r="H237"/>
      <c r="I237"/>
      <c r="J237"/>
      <c r="N237"/>
    </row>
    <row r="238" spans="1:14" ht="13.5" thickBot="1">
      <c r="A238" s="389" t="s">
        <v>221</v>
      </c>
      <c r="B238" s="390"/>
      <c r="C238" s="390"/>
      <c r="D238" s="390"/>
      <c r="E238" s="390"/>
      <c r="F238" s="390"/>
      <c r="G238" s="391"/>
      <c r="H238"/>
      <c r="I238"/>
      <c r="J238"/>
      <c r="N238"/>
    </row>
    <row r="239" spans="1:14" ht="12.75">
      <c r="A239" s="85" t="s">
        <v>136</v>
      </c>
      <c r="B239" s="214">
        <f>'INPUT 1 - 2013 MATERIAL USAGE'!B17*'% PRODUCTION'!M5</f>
        <v>53.657382967476074</v>
      </c>
      <c r="C239" s="213">
        <v>0.2275</v>
      </c>
      <c r="D239" s="57">
        <f>B239*C239</f>
        <v>12.207054625100808</v>
      </c>
      <c r="E239" s="59">
        <v>0.63</v>
      </c>
      <c r="F239" s="66">
        <f>D239*E239</f>
        <v>7.690444413813509</v>
      </c>
      <c r="G239" s="60">
        <f>F239/2000</f>
        <v>0.0038452222069067545</v>
      </c>
      <c r="H239"/>
      <c r="I239"/>
      <c r="J239"/>
      <c r="N239"/>
    </row>
    <row r="240" spans="1:14" ht="12.75">
      <c r="A240" s="85" t="s">
        <v>149</v>
      </c>
      <c r="B240" s="214">
        <f>'INPUT 1 - 2013 MATERIAL USAGE'!C17*'% PRODUCTION'!M5</f>
        <v>48.291644670728466</v>
      </c>
      <c r="C240" s="213">
        <v>0.2275</v>
      </c>
      <c r="D240" s="57">
        <f aca="true" t="shared" si="61" ref="D240:D250">B240*C240</f>
        <v>10.986349162590727</v>
      </c>
      <c r="E240" s="59">
        <v>0.63</v>
      </c>
      <c r="F240" s="66">
        <f aca="true" t="shared" si="62" ref="F240:F250">D240*E240</f>
        <v>6.921399972432158</v>
      </c>
      <c r="G240" s="60">
        <f aca="true" t="shared" si="63" ref="G240:G250">F240/2000</f>
        <v>0.003460699986216079</v>
      </c>
      <c r="H240"/>
      <c r="I240"/>
      <c r="J240"/>
      <c r="N240"/>
    </row>
    <row r="241" spans="1:14" ht="12.75">
      <c r="A241" s="85" t="s">
        <v>150</v>
      </c>
      <c r="B241" s="214">
        <f>'INPUT 1 - 2013 MATERIAL USAGE'!D17*'% PRODUCTION'!M5</f>
        <v>53.657382967476074</v>
      </c>
      <c r="C241" s="213">
        <v>0.2275</v>
      </c>
      <c r="D241" s="57">
        <f t="shared" si="61"/>
        <v>12.207054625100808</v>
      </c>
      <c r="E241" s="59">
        <v>0.63</v>
      </c>
      <c r="F241" s="66">
        <f t="shared" si="62"/>
        <v>7.690444413813509</v>
      </c>
      <c r="G241" s="60">
        <f t="shared" si="63"/>
        <v>0.0038452222069067545</v>
      </c>
      <c r="H241"/>
      <c r="I241"/>
      <c r="J241"/>
      <c r="N241"/>
    </row>
    <row r="242" spans="1:14" ht="12.75">
      <c r="A242" s="85" t="s">
        <v>140</v>
      </c>
      <c r="B242" s="214">
        <f>'INPUT 1 - 2013 MATERIAL USAGE'!E17*'% PRODUCTION'!M5</f>
        <v>53.657382967476074</v>
      </c>
      <c r="C242" s="213">
        <v>0.2275</v>
      </c>
      <c r="D242" s="57">
        <f t="shared" si="61"/>
        <v>12.207054625100808</v>
      </c>
      <c r="E242" s="59">
        <v>0.63</v>
      </c>
      <c r="F242" s="66">
        <f t="shared" si="62"/>
        <v>7.690444413813509</v>
      </c>
      <c r="G242" s="60">
        <f t="shared" si="63"/>
        <v>0.0038452222069067545</v>
      </c>
      <c r="H242"/>
      <c r="I242"/>
      <c r="J242"/>
      <c r="N242"/>
    </row>
    <row r="243" spans="1:14" ht="12.75">
      <c r="A243" s="85" t="s">
        <v>141</v>
      </c>
      <c r="B243" s="214">
        <f>'INPUT 1 - 2013 MATERIAL USAGE'!F17*'% PRODUCTION'!M5</f>
        <v>80.48607445121411</v>
      </c>
      <c r="C243" s="213">
        <v>0.2275</v>
      </c>
      <c r="D243" s="57">
        <f t="shared" si="61"/>
        <v>18.31058193765121</v>
      </c>
      <c r="E243" s="59">
        <v>0.63</v>
      </c>
      <c r="F243" s="66">
        <f t="shared" si="62"/>
        <v>11.535666620720264</v>
      </c>
      <c r="G243" s="60">
        <f t="shared" si="63"/>
        <v>0.005767833310360132</v>
      </c>
      <c r="H243"/>
      <c r="I243"/>
      <c r="J243"/>
      <c r="N243"/>
    </row>
    <row r="244" spans="1:14" ht="12.75">
      <c r="A244" s="85" t="s">
        <v>151</v>
      </c>
      <c r="B244" s="214">
        <f>'INPUT 1 - 2013 MATERIAL USAGE'!G17*'% PRODUCTION'!M5</f>
        <v>26.828691483738037</v>
      </c>
      <c r="C244" s="213">
        <v>0.2275</v>
      </c>
      <c r="D244" s="57">
        <f t="shared" si="61"/>
        <v>6.103527312550404</v>
      </c>
      <c r="E244" s="59">
        <v>0.63</v>
      </c>
      <c r="F244" s="66">
        <f t="shared" si="62"/>
        <v>3.8452222069067545</v>
      </c>
      <c r="G244" s="60">
        <f t="shared" si="63"/>
        <v>0.0019226111034533772</v>
      </c>
      <c r="H244"/>
      <c r="I244"/>
      <c r="J244"/>
      <c r="N244"/>
    </row>
    <row r="245" spans="1:14" ht="12.75">
      <c r="A245" s="85" t="s">
        <v>152</v>
      </c>
      <c r="B245" s="214">
        <f>'INPUT 1 - 2013 MATERIAL USAGE'!H17*'% PRODUCTION'!M5</f>
        <v>53.657382967476074</v>
      </c>
      <c r="C245" s="213">
        <v>0.2275</v>
      </c>
      <c r="D245" s="57">
        <f t="shared" si="61"/>
        <v>12.207054625100808</v>
      </c>
      <c r="E245" s="59">
        <v>0.63</v>
      </c>
      <c r="F245" s="66">
        <f t="shared" si="62"/>
        <v>7.690444413813509</v>
      </c>
      <c r="G245" s="60">
        <f t="shared" si="63"/>
        <v>0.0038452222069067545</v>
      </c>
      <c r="H245"/>
      <c r="I245"/>
      <c r="J245"/>
      <c r="N245"/>
    </row>
    <row r="246" spans="1:14" ht="12.75">
      <c r="A246" s="85" t="s">
        <v>153</v>
      </c>
      <c r="B246" s="214">
        <f>'INPUT 1 - 2013 MATERIAL USAGE'!I17*'% PRODUCTION'!M5</f>
        <v>0</v>
      </c>
      <c r="C246" s="213">
        <v>0.2275</v>
      </c>
      <c r="D246" s="57">
        <f t="shared" si="61"/>
        <v>0</v>
      </c>
      <c r="E246" s="59">
        <v>0.63</v>
      </c>
      <c r="F246" s="66">
        <f t="shared" si="62"/>
        <v>0</v>
      </c>
      <c r="G246" s="60">
        <f t="shared" si="63"/>
        <v>0</v>
      </c>
      <c r="H246"/>
      <c r="I246"/>
      <c r="J246"/>
      <c r="N246"/>
    </row>
    <row r="247" spans="1:14" ht="12.75">
      <c r="A247" s="85" t="s">
        <v>145</v>
      </c>
      <c r="B247" s="214">
        <f>'INPUT 1 - 2013 MATERIAL USAGE'!J17*'% PRODUCTION'!M5</f>
        <v>0</v>
      </c>
      <c r="C247" s="213">
        <v>0.2275</v>
      </c>
      <c r="D247" s="57">
        <f t="shared" si="61"/>
        <v>0</v>
      </c>
      <c r="E247" s="59">
        <v>0.63</v>
      </c>
      <c r="F247" s="66">
        <f t="shared" si="62"/>
        <v>0</v>
      </c>
      <c r="G247" s="60">
        <f t="shared" si="63"/>
        <v>0</v>
      </c>
      <c r="H247"/>
      <c r="I247"/>
      <c r="J247"/>
      <c r="N247"/>
    </row>
    <row r="248" spans="1:14" ht="12.75">
      <c r="A248" s="85" t="s">
        <v>146</v>
      </c>
      <c r="B248" s="214">
        <f>'INPUT 1 - 2013 MATERIAL USAGE'!K17*'% PRODUCTION'!M5</f>
        <v>0</v>
      </c>
      <c r="C248" s="213">
        <v>0.2275</v>
      </c>
      <c r="D248" s="57">
        <f t="shared" si="61"/>
        <v>0</v>
      </c>
      <c r="E248" s="59">
        <v>0.63</v>
      </c>
      <c r="F248" s="66">
        <f t="shared" si="62"/>
        <v>0</v>
      </c>
      <c r="G248" s="60">
        <f t="shared" si="63"/>
        <v>0</v>
      </c>
      <c r="H248"/>
      <c r="I248"/>
      <c r="J248"/>
      <c r="N248"/>
    </row>
    <row r="249" spans="1:14" ht="12.75">
      <c r="A249" s="85" t="s">
        <v>154</v>
      </c>
      <c r="B249" s="214">
        <f>'INPUT 1 - 2013 MATERIAL USAGE'!L17*'% PRODUCTION'!M5</f>
        <v>0</v>
      </c>
      <c r="C249" s="213">
        <v>0.2275</v>
      </c>
      <c r="D249" s="57">
        <f t="shared" si="61"/>
        <v>0</v>
      </c>
      <c r="E249" s="59">
        <v>0.63</v>
      </c>
      <c r="F249" s="66">
        <f t="shared" si="62"/>
        <v>0</v>
      </c>
      <c r="G249" s="60">
        <f t="shared" si="63"/>
        <v>0</v>
      </c>
      <c r="H249"/>
      <c r="I249"/>
      <c r="J249"/>
      <c r="N249"/>
    </row>
    <row r="250" spans="1:14" ht="13.5" thickBot="1">
      <c r="A250" s="85" t="s">
        <v>148</v>
      </c>
      <c r="B250" s="214">
        <f>'INPUT 1 - 2013 MATERIAL USAGE'!M17*'% PRODUCTION'!M5</f>
        <v>0</v>
      </c>
      <c r="C250" s="213">
        <v>0.2275</v>
      </c>
      <c r="D250" s="57">
        <f t="shared" si="61"/>
        <v>0</v>
      </c>
      <c r="E250" s="59">
        <v>0.63</v>
      </c>
      <c r="F250" s="66">
        <f t="shared" si="62"/>
        <v>0</v>
      </c>
      <c r="G250" s="60">
        <f t="shared" si="63"/>
        <v>0</v>
      </c>
      <c r="H250"/>
      <c r="I250"/>
      <c r="J250"/>
      <c r="N250"/>
    </row>
    <row r="251" spans="1:14" ht="14.25" thickBot="1" thickTop="1">
      <c r="A251" s="61" t="s">
        <v>11</v>
      </c>
      <c r="B251" s="70">
        <f>SUM(B239:B250)</f>
        <v>370.2359424755849</v>
      </c>
      <c r="C251" s="70"/>
      <c r="D251" s="70">
        <f>SUM(D239:D250)</f>
        <v>84.22867691319557</v>
      </c>
      <c r="E251" s="70"/>
      <c r="F251" s="70">
        <f>SUM(F239:F250)</f>
        <v>53.06406645531321</v>
      </c>
      <c r="G251" s="71">
        <f>SUM(G239:G250)</f>
        <v>0.026532033227656602</v>
      </c>
      <c r="H251"/>
      <c r="I251"/>
      <c r="J251"/>
      <c r="N251"/>
    </row>
    <row r="252" spans="1:8" ht="13.5" thickBot="1">
      <c r="A252" s="29"/>
      <c r="B252" s="51"/>
      <c r="C252" s="51"/>
      <c r="D252" s="51"/>
      <c r="E252" s="51"/>
      <c r="F252" s="51"/>
      <c r="G252" s="51"/>
      <c r="H252" s="51"/>
    </row>
    <row r="253" spans="1:8" ht="13.5" thickBot="1">
      <c r="A253" s="389" t="s">
        <v>222</v>
      </c>
      <c r="B253" s="390"/>
      <c r="C253" s="390"/>
      <c r="D253" s="390"/>
      <c r="E253" s="390"/>
      <c r="F253" s="390"/>
      <c r="G253" s="391"/>
      <c r="H253"/>
    </row>
    <row r="254" spans="1:14" ht="24.75" thickBot="1">
      <c r="A254" s="46" t="s">
        <v>6</v>
      </c>
      <c r="B254" s="47" t="s">
        <v>204</v>
      </c>
      <c r="C254" s="47" t="s">
        <v>203</v>
      </c>
      <c r="D254" s="48" t="s">
        <v>10</v>
      </c>
      <c r="E254" s="48" t="s">
        <v>3</v>
      </c>
      <c r="F254" s="200" t="s">
        <v>4</v>
      </c>
      <c r="G254" s="48" t="s">
        <v>5</v>
      </c>
      <c r="H254" s="7"/>
      <c r="I254" s="8"/>
      <c r="J254"/>
      <c r="M254" s="2"/>
      <c r="N254"/>
    </row>
    <row r="255" spans="1:8" ht="13.5" thickBot="1">
      <c r="A255" s="389" t="s">
        <v>221</v>
      </c>
      <c r="B255" s="390"/>
      <c r="C255" s="390"/>
      <c r="D255" s="390"/>
      <c r="E255" s="390"/>
      <c r="F255" s="390"/>
      <c r="G255" s="391"/>
      <c r="H255"/>
    </row>
    <row r="256" spans="1:14" ht="12.75">
      <c r="A256" s="85" t="s">
        <v>136</v>
      </c>
      <c r="B256" s="214">
        <f>'INPUT 1 - 2013 MATERIAL USAGE'!B17*'% PRODUCTION'!M6</f>
        <v>46.342617032523926</v>
      </c>
      <c r="C256" s="213">
        <v>0.2275</v>
      </c>
      <c r="D256" s="57">
        <f>B256*C256</f>
        <v>10.542945374899194</v>
      </c>
      <c r="E256" s="59">
        <v>0.64</v>
      </c>
      <c r="F256" s="66">
        <f>D256*E256</f>
        <v>6.747485039935484</v>
      </c>
      <c r="G256" s="60">
        <f>F256/2000</f>
        <v>0.0033737425199677424</v>
      </c>
      <c r="H256" s="7"/>
      <c r="I256" s="8"/>
      <c r="J256"/>
      <c r="M256" s="2"/>
      <c r="N256"/>
    </row>
    <row r="257" spans="1:14" ht="12.75">
      <c r="A257" s="85" t="s">
        <v>149</v>
      </c>
      <c r="B257" s="214">
        <f>'INPUT 1 - 2013 MATERIAL USAGE'!C17*'% PRODUCTION'!M6</f>
        <v>41.708355329271534</v>
      </c>
      <c r="C257" s="213">
        <v>0.2275</v>
      </c>
      <c r="D257" s="57">
        <f aca="true" t="shared" si="64" ref="D257:D267">B257*C257</f>
        <v>9.488650837409274</v>
      </c>
      <c r="E257" s="59">
        <v>0.64</v>
      </c>
      <c r="F257" s="66">
        <f aca="true" t="shared" si="65" ref="F257:F267">D257*E257</f>
        <v>6.072736535941935</v>
      </c>
      <c r="G257" s="60">
        <f aca="true" t="shared" si="66" ref="G257:G267">F257/2000</f>
        <v>0.0030363682679709677</v>
      </c>
      <c r="H257" s="7"/>
      <c r="I257" s="8"/>
      <c r="J257"/>
      <c r="M257" s="2"/>
      <c r="N257"/>
    </row>
    <row r="258" spans="1:14" ht="12.75">
      <c r="A258" s="85" t="s">
        <v>150</v>
      </c>
      <c r="B258" s="214">
        <f>'INPUT 1 - 2013 MATERIAL USAGE'!D17*'% PRODUCTION'!M6</f>
        <v>46.342617032523926</v>
      </c>
      <c r="C258" s="213">
        <v>0.2275</v>
      </c>
      <c r="D258" s="57">
        <f t="shared" si="64"/>
        <v>10.542945374899194</v>
      </c>
      <c r="E258" s="59">
        <v>0.64</v>
      </c>
      <c r="F258" s="66">
        <f t="shared" si="65"/>
        <v>6.747485039935484</v>
      </c>
      <c r="G258" s="60">
        <f t="shared" si="66"/>
        <v>0.0033737425199677424</v>
      </c>
      <c r="H258" s="7"/>
      <c r="I258" s="8"/>
      <c r="J258"/>
      <c r="M258" s="2"/>
      <c r="N258"/>
    </row>
    <row r="259" spans="1:14" ht="12.75">
      <c r="A259" s="85" t="s">
        <v>140</v>
      </c>
      <c r="B259" s="214">
        <f>'INPUT 1 - 2013 MATERIAL USAGE'!E17*'% PRODUCTION'!M6</f>
        <v>46.342617032523926</v>
      </c>
      <c r="C259" s="213">
        <v>0.2275</v>
      </c>
      <c r="D259" s="57">
        <f t="shared" si="64"/>
        <v>10.542945374899194</v>
      </c>
      <c r="E259" s="59">
        <v>0.64</v>
      </c>
      <c r="F259" s="66">
        <f t="shared" si="65"/>
        <v>6.747485039935484</v>
      </c>
      <c r="G259" s="60">
        <f t="shared" si="66"/>
        <v>0.0033737425199677424</v>
      </c>
      <c r="H259" s="7"/>
      <c r="I259" s="8"/>
      <c r="J259"/>
      <c r="M259" s="2"/>
      <c r="N259"/>
    </row>
    <row r="260" spans="1:14" ht="12.75">
      <c r="A260" s="85" t="s">
        <v>141</v>
      </c>
      <c r="B260" s="214">
        <f>'INPUT 1 - 2013 MATERIAL USAGE'!F17*'% PRODUCTION'!M6</f>
        <v>69.51392554878589</v>
      </c>
      <c r="C260" s="213">
        <v>0.2275</v>
      </c>
      <c r="D260" s="57">
        <f t="shared" si="64"/>
        <v>15.81441806234879</v>
      </c>
      <c r="E260" s="59">
        <v>0.64</v>
      </c>
      <c r="F260" s="66">
        <f t="shared" si="65"/>
        <v>10.121227559903227</v>
      </c>
      <c r="G260" s="60">
        <f t="shared" si="66"/>
        <v>0.005060613779951614</v>
      </c>
      <c r="H260" s="7"/>
      <c r="I260" s="8"/>
      <c r="J260"/>
      <c r="M260" s="2"/>
      <c r="N260"/>
    </row>
    <row r="261" spans="1:14" ht="12.75">
      <c r="A261" s="85" t="s">
        <v>151</v>
      </c>
      <c r="B261" s="214">
        <f>'INPUT 1 - 2013 MATERIAL USAGE'!G17*'% PRODUCTION'!M6</f>
        <v>23.171308516261963</v>
      </c>
      <c r="C261" s="213">
        <v>0.2275</v>
      </c>
      <c r="D261" s="57">
        <f t="shared" si="64"/>
        <v>5.271472687449597</v>
      </c>
      <c r="E261" s="59">
        <v>0.64</v>
      </c>
      <c r="F261" s="66">
        <f t="shared" si="65"/>
        <v>3.373742519967742</v>
      </c>
      <c r="G261" s="60">
        <f t="shared" si="66"/>
        <v>0.0016868712599838712</v>
      </c>
      <c r="H261" s="7"/>
      <c r="I261" s="8"/>
      <c r="J261"/>
      <c r="M261" s="2"/>
      <c r="N261"/>
    </row>
    <row r="262" spans="1:14" ht="12.75">
      <c r="A262" s="85" t="s">
        <v>152</v>
      </c>
      <c r="B262" s="214">
        <f>'INPUT 1 - 2013 MATERIAL USAGE'!H17*'% PRODUCTION'!M6</f>
        <v>46.342617032523926</v>
      </c>
      <c r="C262" s="213">
        <v>0.2275</v>
      </c>
      <c r="D262" s="57">
        <f t="shared" si="64"/>
        <v>10.542945374899194</v>
      </c>
      <c r="E262" s="59">
        <v>0.64</v>
      </c>
      <c r="F262" s="66">
        <f t="shared" si="65"/>
        <v>6.747485039935484</v>
      </c>
      <c r="G262" s="60">
        <f t="shared" si="66"/>
        <v>0.0033737425199677424</v>
      </c>
      <c r="H262" s="7"/>
      <c r="I262" s="8"/>
      <c r="J262"/>
      <c r="M262" s="2"/>
      <c r="N262"/>
    </row>
    <row r="263" spans="1:14" ht="12.75">
      <c r="A263" s="85" t="s">
        <v>153</v>
      </c>
      <c r="B263" s="214">
        <f>'INPUT 1 - 2013 MATERIAL USAGE'!I17*'% PRODUCTION'!M6</f>
        <v>0</v>
      </c>
      <c r="C263" s="213">
        <v>0.2275</v>
      </c>
      <c r="D263" s="57">
        <f t="shared" si="64"/>
        <v>0</v>
      </c>
      <c r="E263" s="59">
        <v>0.64</v>
      </c>
      <c r="F263" s="66">
        <f t="shared" si="65"/>
        <v>0</v>
      </c>
      <c r="G263" s="60">
        <f t="shared" si="66"/>
        <v>0</v>
      </c>
      <c r="H263" s="7"/>
      <c r="I263" s="8"/>
      <c r="J263"/>
      <c r="M263" s="2"/>
      <c r="N263"/>
    </row>
    <row r="264" spans="1:14" ht="12.75">
      <c r="A264" s="85" t="s">
        <v>145</v>
      </c>
      <c r="B264" s="214">
        <f>'INPUT 1 - 2013 MATERIAL USAGE'!J17*'% PRODUCTION'!M6</f>
        <v>0</v>
      </c>
      <c r="C264" s="213">
        <v>0.2275</v>
      </c>
      <c r="D264" s="57">
        <f t="shared" si="64"/>
        <v>0</v>
      </c>
      <c r="E264" s="59">
        <v>0.64</v>
      </c>
      <c r="F264" s="66">
        <f t="shared" si="65"/>
        <v>0</v>
      </c>
      <c r="G264" s="60">
        <f t="shared" si="66"/>
        <v>0</v>
      </c>
      <c r="H264" s="7"/>
      <c r="I264" s="8"/>
      <c r="J264"/>
      <c r="M264" s="2"/>
      <c r="N264"/>
    </row>
    <row r="265" spans="1:14" ht="12.75">
      <c r="A265" s="85" t="s">
        <v>146</v>
      </c>
      <c r="B265" s="214">
        <f>'INPUT 1 - 2013 MATERIAL USAGE'!K17*'% PRODUCTION'!M6</f>
        <v>0</v>
      </c>
      <c r="C265" s="213">
        <v>0.2275</v>
      </c>
      <c r="D265" s="57">
        <f t="shared" si="64"/>
        <v>0</v>
      </c>
      <c r="E265" s="59">
        <v>0.64</v>
      </c>
      <c r="F265" s="66">
        <f t="shared" si="65"/>
        <v>0</v>
      </c>
      <c r="G265" s="60">
        <f t="shared" si="66"/>
        <v>0</v>
      </c>
      <c r="H265" s="7"/>
      <c r="I265" s="8"/>
      <c r="J265"/>
      <c r="M265" s="2"/>
      <c r="N265"/>
    </row>
    <row r="266" spans="1:14" ht="12.75">
      <c r="A266" s="85" t="s">
        <v>154</v>
      </c>
      <c r="B266" s="214">
        <f>'INPUT 1 - 2013 MATERIAL USAGE'!L17*'% PRODUCTION'!M6</f>
        <v>0</v>
      </c>
      <c r="C266" s="213">
        <v>0.2275</v>
      </c>
      <c r="D266" s="57">
        <f t="shared" si="64"/>
        <v>0</v>
      </c>
      <c r="E266" s="59">
        <v>0.64</v>
      </c>
      <c r="F266" s="66">
        <f t="shared" si="65"/>
        <v>0</v>
      </c>
      <c r="G266" s="60">
        <f t="shared" si="66"/>
        <v>0</v>
      </c>
      <c r="H266" s="7"/>
      <c r="I266" s="8"/>
      <c r="J266"/>
      <c r="M266" s="2"/>
      <c r="N266"/>
    </row>
    <row r="267" spans="1:14" ht="13.5" thickBot="1">
      <c r="A267" s="85" t="s">
        <v>148</v>
      </c>
      <c r="B267" s="214">
        <f>'INPUT 1 - 2013 MATERIAL USAGE'!M17*'% PRODUCTION'!M6</f>
        <v>0</v>
      </c>
      <c r="C267" s="213">
        <v>0.2275</v>
      </c>
      <c r="D267" s="57">
        <f t="shared" si="64"/>
        <v>0</v>
      </c>
      <c r="E267" s="59">
        <v>0.64</v>
      </c>
      <c r="F267" s="66">
        <f t="shared" si="65"/>
        <v>0</v>
      </c>
      <c r="G267" s="60">
        <f t="shared" si="66"/>
        <v>0</v>
      </c>
      <c r="H267" s="7"/>
      <c r="I267" s="8"/>
      <c r="J267"/>
      <c r="M267" s="2"/>
      <c r="N267"/>
    </row>
    <row r="268" spans="1:14" ht="14.25" thickBot="1" thickTop="1">
      <c r="A268" s="61" t="s">
        <v>11</v>
      </c>
      <c r="B268" s="70">
        <f>SUM(B256:B267)</f>
        <v>319.7640575244151</v>
      </c>
      <c r="C268" s="70"/>
      <c r="D268" s="70">
        <f>SUM(D256:D267)</f>
        <v>72.74632308680444</v>
      </c>
      <c r="E268" s="70"/>
      <c r="F268" s="70">
        <f>SUM(F256:F267)</f>
        <v>46.557646775554836</v>
      </c>
      <c r="G268" s="71">
        <f>SUM(G256:G267)</f>
        <v>0.023278823387777422</v>
      </c>
      <c r="H268" s="7"/>
      <c r="I268" s="8"/>
      <c r="J268"/>
      <c r="M268" s="2"/>
      <c r="N268"/>
    </row>
    <row r="269" spans="1:8" ht="13.5" thickBot="1">
      <c r="A269" s="29"/>
      <c r="B269" s="51"/>
      <c r="C269" s="51"/>
      <c r="D269" s="51"/>
      <c r="E269" s="51"/>
      <c r="F269" s="51"/>
      <c r="G269" s="51"/>
      <c r="H269" s="51"/>
    </row>
    <row r="270" spans="1:8" ht="13.5" thickBot="1">
      <c r="A270" s="401" t="s">
        <v>172</v>
      </c>
      <c r="B270" s="402"/>
      <c r="C270" s="402"/>
      <c r="D270" s="402"/>
      <c r="E270" s="402"/>
      <c r="F270" s="402"/>
      <c r="G270" s="402"/>
      <c r="H270" s="403"/>
    </row>
    <row r="271" spans="1:8" ht="13.5" thickBot="1">
      <c r="A271" s="436" t="s">
        <v>62</v>
      </c>
      <c r="B271" s="437"/>
      <c r="C271" s="437"/>
      <c r="D271" s="437"/>
      <c r="E271" s="437"/>
      <c r="F271" s="437"/>
      <c r="G271" s="437"/>
      <c r="H271" s="438"/>
    </row>
    <row r="272" spans="3:8" ht="12.75">
      <c r="C272"/>
      <c r="E272"/>
      <c r="F272"/>
      <c r="G272" s="195"/>
      <c r="H272"/>
    </row>
    <row r="273" spans="1:8" ht="13.5" thickBot="1">
      <c r="A273" s="435" t="s">
        <v>181</v>
      </c>
      <c r="B273" s="435"/>
      <c r="C273" s="435"/>
      <c r="D273" s="435"/>
      <c r="E273" s="435"/>
      <c r="F273" s="435"/>
      <c r="G273" s="435"/>
      <c r="H273" s="435"/>
    </row>
    <row r="274" spans="1:8" ht="24.75" thickBot="1">
      <c r="A274" s="46" t="s">
        <v>6</v>
      </c>
      <c r="B274" s="47" t="s">
        <v>7</v>
      </c>
      <c r="C274" s="47" t="s">
        <v>12</v>
      </c>
      <c r="D274" s="47" t="s">
        <v>9</v>
      </c>
      <c r="E274" s="48" t="s">
        <v>13</v>
      </c>
      <c r="F274" s="48" t="s">
        <v>3</v>
      </c>
      <c r="G274" s="200" t="s">
        <v>14</v>
      </c>
      <c r="H274" s="48" t="s">
        <v>15</v>
      </c>
    </row>
    <row r="275" spans="1:8" ht="13.5" thickBot="1">
      <c r="A275" s="392" t="s">
        <v>55</v>
      </c>
      <c r="B275" s="395"/>
      <c r="C275" s="395"/>
      <c r="D275" s="395"/>
      <c r="E275" s="395"/>
      <c r="F275" s="395"/>
      <c r="G275" s="395"/>
      <c r="H275" s="396"/>
    </row>
    <row r="276" spans="1:8" ht="12.75">
      <c r="A276" s="55"/>
      <c r="B276" s="19"/>
      <c r="C276" s="19"/>
      <c r="D276" s="19"/>
      <c r="E276" s="19"/>
      <c r="F276" s="19"/>
      <c r="G276" s="66"/>
      <c r="H276" s="56"/>
    </row>
    <row r="277" spans="1:8" ht="12.75">
      <c r="A277" s="85" t="str">
        <f aca="true" t="shared" si="67" ref="A277:A288">A314</f>
        <v>Jan</v>
      </c>
      <c r="B277" s="57">
        <f>B49</f>
        <v>306.98628662581376</v>
      </c>
      <c r="C277" s="58">
        <f aca="true" t="shared" si="68" ref="C277:C288">C314</f>
        <v>0.15</v>
      </c>
      <c r="D277" s="57">
        <f aca="true" t="shared" si="69" ref="D277:D288">B277*9.01</f>
        <v>2765.9464424985817</v>
      </c>
      <c r="E277" s="57">
        <f aca="true" t="shared" si="70" ref="E277:E288">D277*C277</f>
        <v>414.8919663747873</v>
      </c>
      <c r="F277" s="59">
        <v>0.36</v>
      </c>
      <c r="G277" s="66">
        <f>E277*F277</f>
        <v>149.3611078949234</v>
      </c>
      <c r="H277" s="60">
        <f aca="true" t="shared" si="71" ref="H277:H288">G277/2000</f>
        <v>0.0746805539474617</v>
      </c>
    </row>
    <row r="278" spans="1:8" ht="12.75">
      <c r="A278" s="85" t="str">
        <f t="shared" si="67"/>
        <v>Feb</v>
      </c>
      <c r="B278" s="57">
        <f aca="true" t="shared" si="72" ref="B278:B288">B50</f>
        <v>115.11985748468017</v>
      </c>
      <c r="C278" s="58">
        <f t="shared" si="68"/>
        <v>0.15</v>
      </c>
      <c r="D278" s="57">
        <f t="shared" si="69"/>
        <v>1037.2299159369684</v>
      </c>
      <c r="E278" s="57">
        <f t="shared" si="70"/>
        <v>155.58448739054526</v>
      </c>
      <c r="F278" s="59">
        <v>0.36</v>
      </c>
      <c r="G278" s="66">
        <f aca="true" t="shared" si="73" ref="G278:G288">E278*F278</f>
        <v>56.01041546059629</v>
      </c>
      <c r="H278" s="60">
        <f t="shared" si="71"/>
        <v>0.028005207730298146</v>
      </c>
    </row>
    <row r="279" spans="1:8" ht="12.75">
      <c r="A279" s="85" t="str">
        <f t="shared" si="67"/>
        <v>Mar</v>
      </c>
      <c r="B279" s="57">
        <f t="shared" si="72"/>
        <v>268.61300079758706</v>
      </c>
      <c r="C279" s="58">
        <f t="shared" si="68"/>
        <v>0.15</v>
      </c>
      <c r="D279" s="57">
        <f t="shared" si="69"/>
        <v>2420.2031371862595</v>
      </c>
      <c r="E279" s="57">
        <f t="shared" si="70"/>
        <v>363.0304705779389</v>
      </c>
      <c r="F279" s="59">
        <v>0.36</v>
      </c>
      <c r="G279" s="66">
        <f t="shared" si="73"/>
        <v>130.690969408058</v>
      </c>
      <c r="H279" s="60">
        <f t="shared" si="71"/>
        <v>0.06534548470402901</v>
      </c>
    </row>
    <row r="280" spans="1:8" ht="12.75">
      <c r="A280" s="85" t="str">
        <f t="shared" si="67"/>
        <v>Apr</v>
      </c>
      <c r="B280" s="57">
        <f t="shared" si="72"/>
        <v>230.23971496936034</v>
      </c>
      <c r="C280" s="58">
        <f t="shared" si="68"/>
        <v>0.15</v>
      </c>
      <c r="D280" s="57">
        <f t="shared" si="69"/>
        <v>2074.4598318739368</v>
      </c>
      <c r="E280" s="57">
        <f t="shared" si="70"/>
        <v>311.1689747810905</v>
      </c>
      <c r="F280" s="59">
        <v>0.36</v>
      </c>
      <c r="G280" s="66">
        <f t="shared" si="73"/>
        <v>112.02083092119258</v>
      </c>
      <c r="H280" s="60">
        <f t="shared" si="71"/>
        <v>0.05601041546059629</v>
      </c>
    </row>
    <row r="281" spans="1:8" ht="12.75">
      <c r="A281" s="85" t="str">
        <f t="shared" si="67"/>
        <v>May</v>
      </c>
      <c r="B281" s="57">
        <f t="shared" si="72"/>
        <v>191.8664291411336</v>
      </c>
      <c r="C281" s="58">
        <f t="shared" si="68"/>
        <v>0.15</v>
      </c>
      <c r="D281" s="57">
        <f t="shared" si="69"/>
        <v>1728.7165265616138</v>
      </c>
      <c r="E281" s="57">
        <f t="shared" si="70"/>
        <v>259.30747898424204</v>
      </c>
      <c r="F281" s="59">
        <v>0.36</v>
      </c>
      <c r="G281" s="66">
        <f t="shared" si="73"/>
        <v>93.35069243432713</v>
      </c>
      <c r="H281" s="60">
        <f t="shared" si="71"/>
        <v>0.046675346217163564</v>
      </c>
    </row>
    <row r="282" spans="1:8" ht="12.75">
      <c r="A282" s="85" t="str">
        <f t="shared" si="67"/>
        <v>Jun</v>
      </c>
      <c r="B282" s="57">
        <f t="shared" si="72"/>
        <v>191.8664291411336</v>
      </c>
      <c r="C282" s="58">
        <f t="shared" si="68"/>
        <v>0.15</v>
      </c>
      <c r="D282" s="57">
        <f t="shared" si="69"/>
        <v>1728.7165265616138</v>
      </c>
      <c r="E282" s="57">
        <f t="shared" si="70"/>
        <v>259.30747898424204</v>
      </c>
      <c r="F282" s="59">
        <v>0.36</v>
      </c>
      <c r="G282" s="66">
        <f t="shared" si="73"/>
        <v>93.35069243432713</v>
      </c>
      <c r="H282" s="60">
        <f t="shared" si="71"/>
        <v>0.046675346217163564</v>
      </c>
    </row>
    <row r="283" spans="1:8" ht="12.75">
      <c r="A283" s="85" t="str">
        <f t="shared" si="67"/>
        <v>Jul</v>
      </c>
      <c r="B283" s="57">
        <f t="shared" si="72"/>
        <v>191.8664291411336</v>
      </c>
      <c r="C283" s="58">
        <f t="shared" si="68"/>
        <v>0.15</v>
      </c>
      <c r="D283" s="57">
        <f t="shared" si="69"/>
        <v>1728.7165265616138</v>
      </c>
      <c r="E283" s="57">
        <f t="shared" si="70"/>
        <v>259.30747898424204</v>
      </c>
      <c r="F283" s="59">
        <v>0.36</v>
      </c>
      <c r="G283" s="66">
        <f t="shared" si="73"/>
        <v>93.35069243432713</v>
      </c>
      <c r="H283" s="60">
        <f t="shared" si="71"/>
        <v>0.046675346217163564</v>
      </c>
    </row>
    <row r="284" spans="1:8" ht="12.75">
      <c r="A284" s="85" t="str">
        <f t="shared" si="67"/>
        <v>Aug</v>
      </c>
      <c r="B284" s="57">
        <f t="shared" si="72"/>
        <v>0</v>
      </c>
      <c r="C284" s="58">
        <f t="shared" si="68"/>
        <v>0.15</v>
      </c>
      <c r="D284" s="57">
        <f t="shared" si="69"/>
        <v>0</v>
      </c>
      <c r="E284" s="57">
        <f t="shared" si="70"/>
        <v>0</v>
      </c>
      <c r="F284" s="59">
        <v>0.36</v>
      </c>
      <c r="G284" s="66">
        <f t="shared" si="73"/>
        <v>0</v>
      </c>
      <c r="H284" s="60">
        <f t="shared" si="71"/>
        <v>0</v>
      </c>
    </row>
    <row r="285" spans="1:8" ht="12.75">
      <c r="A285" s="85" t="str">
        <f t="shared" si="67"/>
        <v>Sep</v>
      </c>
      <c r="B285" s="57">
        <f t="shared" si="72"/>
        <v>0</v>
      </c>
      <c r="C285" s="58">
        <f t="shared" si="68"/>
        <v>0.15</v>
      </c>
      <c r="D285" s="57">
        <f t="shared" si="69"/>
        <v>0</v>
      </c>
      <c r="E285" s="57">
        <f t="shared" si="70"/>
        <v>0</v>
      </c>
      <c r="F285" s="59">
        <v>0.36</v>
      </c>
      <c r="G285" s="66">
        <f t="shared" si="73"/>
        <v>0</v>
      </c>
      <c r="H285" s="60">
        <f t="shared" si="71"/>
        <v>0</v>
      </c>
    </row>
    <row r="286" spans="1:8" ht="12.75">
      <c r="A286" s="85" t="str">
        <f t="shared" si="67"/>
        <v>Oct</v>
      </c>
      <c r="B286" s="57">
        <f t="shared" si="72"/>
        <v>0</v>
      </c>
      <c r="C286" s="58">
        <f t="shared" si="68"/>
        <v>0.15</v>
      </c>
      <c r="D286" s="57">
        <f t="shared" si="69"/>
        <v>0</v>
      </c>
      <c r="E286" s="57">
        <f t="shared" si="70"/>
        <v>0</v>
      </c>
      <c r="F286" s="59">
        <v>0.36</v>
      </c>
      <c r="G286" s="66">
        <f t="shared" si="73"/>
        <v>0</v>
      </c>
      <c r="H286" s="60">
        <f t="shared" si="71"/>
        <v>0</v>
      </c>
    </row>
    <row r="287" spans="1:8" ht="12.75">
      <c r="A287" s="85" t="str">
        <f t="shared" si="67"/>
        <v>Nov</v>
      </c>
      <c r="B287" s="57">
        <f t="shared" si="72"/>
        <v>0</v>
      </c>
      <c r="C287" s="58">
        <f t="shared" si="68"/>
        <v>0.15</v>
      </c>
      <c r="D287" s="57">
        <f t="shared" si="69"/>
        <v>0</v>
      </c>
      <c r="E287" s="57">
        <f t="shared" si="70"/>
        <v>0</v>
      </c>
      <c r="F287" s="59">
        <v>0.36</v>
      </c>
      <c r="G287" s="66">
        <f t="shared" si="73"/>
        <v>0</v>
      </c>
      <c r="H287" s="60">
        <f t="shared" si="71"/>
        <v>0</v>
      </c>
    </row>
    <row r="288" spans="1:8" ht="13.5" thickBot="1">
      <c r="A288" s="85" t="str">
        <f t="shared" si="67"/>
        <v>Dec</v>
      </c>
      <c r="B288" s="57">
        <f t="shared" si="72"/>
        <v>0</v>
      </c>
      <c r="C288" s="58">
        <f t="shared" si="68"/>
        <v>0.15</v>
      </c>
      <c r="D288" s="57">
        <f t="shared" si="69"/>
        <v>0</v>
      </c>
      <c r="E288" s="57">
        <f t="shared" si="70"/>
        <v>0</v>
      </c>
      <c r="F288" s="59">
        <v>0.36</v>
      </c>
      <c r="G288" s="66">
        <f t="shared" si="73"/>
        <v>0</v>
      </c>
      <c r="H288" s="60">
        <f t="shared" si="71"/>
        <v>0</v>
      </c>
    </row>
    <row r="289" spans="1:8" ht="13.5" thickBot="1">
      <c r="A289" s="50" t="s">
        <v>11</v>
      </c>
      <c r="B289" s="67">
        <f>SUM(B277:B288)</f>
        <v>1496.5581473008424</v>
      </c>
      <c r="C289" s="67"/>
      <c r="D289" s="215">
        <f>SUM(D277:D288)</f>
        <v>13483.988907180586</v>
      </c>
      <c r="E289" s="67">
        <f>SUM(E277:E288)</f>
        <v>2022.5983360770883</v>
      </c>
      <c r="F289" s="68"/>
      <c r="G289" s="201">
        <f>SUM(G277:G288)</f>
        <v>728.1354009877516</v>
      </c>
      <c r="H289" s="69">
        <f>SUM(H277:H288)</f>
        <v>0.3640677004938758</v>
      </c>
    </row>
    <row r="290" spans="1:8" ht="12.75">
      <c r="A290" s="29"/>
      <c r="B290" s="25"/>
      <c r="C290" s="25"/>
      <c r="D290" s="25"/>
      <c r="E290" s="25"/>
      <c r="F290" s="31"/>
      <c r="G290" s="51"/>
      <c r="H290" s="25"/>
    </row>
    <row r="291" spans="1:8" ht="12.75">
      <c r="A291" s="29"/>
      <c r="B291" s="25"/>
      <c r="C291" s="25"/>
      <c r="D291" s="25"/>
      <c r="E291" s="25"/>
      <c r="F291" s="31"/>
      <c r="G291" s="51"/>
      <c r="H291" s="25"/>
    </row>
    <row r="292" spans="1:8" ht="13.5" thickBot="1">
      <c r="A292" s="435" t="s">
        <v>182</v>
      </c>
      <c r="B292" s="435"/>
      <c r="C292" s="435"/>
      <c r="D292" s="435"/>
      <c r="E292" s="435"/>
      <c r="F292" s="435"/>
      <c r="G292" s="435"/>
      <c r="H292" s="435"/>
    </row>
    <row r="293" spans="1:8" ht="24.75" thickBot="1">
      <c r="A293" s="46" t="s">
        <v>6</v>
      </c>
      <c r="B293" s="47" t="s">
        <v>7</v>
      </c>
      <c r="C293" s="47" t="s">
        <v>12</v>
      </c>
      <c r="D293" s="47" t="s">
        <v>9</v>
      </c>
      <c r="E293" s="48" t="s">
        <v>13</v>
      </c>
      <c r="F293" s="48" t="s">
        <v>3</v>
      </c>
      <c r="G293" s="200" t="s">
        <v>14</v>
      </c>
      <c r="H293" s="48" t="s">
        <v>15</v>
      </c>
    </row>
    <row r="294" spans="1:8" ht="13.5" thickBot="1">
      <c r="A294" s="392" t="s">
        <v>55</v>
      </c>
      <c r="B294" s="395"/>
      <c r="C294" s="395"/>
      <c r="D294" s="395"/>
      <c r="E294" s="395"/>
      <c r="F294" s="395"/>
      <c r="G294" s="395"/>
      <c r="H294" s="396"/>
    </row>
    <row r="295" spans="1:8" ht="12.75">
      <c r="A295" s="55"/>
      <c r="B295" s="19"/>
      <c r="C295" s="19"/>
      <c r="D295" s="19"/>
      <c r="E295" s="19"/>
      <c r="F295" s="19"/>
      <c r="G295" s="66"/>
      <c r="H295" s="56"/>
    </row>
    <row r="296" spans="1:8" ht="12.75">
      <c r="A296" s="85" t="str">
        <f>A277</f>
        <v>Jan</v>
      </c>
      <c r="B296" s="57">
        <f>B66</f>
        <v>133.0137133741862</v>
      </c>
      <c r="C296" s="58">
        <f>C277</f>
        <v>0.15</v>
      </c>
      <c r="D296" s="57">
        <f aca="true" t="shared" si="74" ref="D296:D307">B296*9.01</f>
        <v>1198.4535575014177</v>
      </c>
      <c r="E296" s="57">
        <f aca="true" t="shared" si="75" ref="E296:E307">D296*C296</f>
        <v>179.76803362521264</v>
      </c>
      <c r="F296" s="59">
        <f>F277</f>
        <v>0.36</v>
      </c>
      <c r="G296" s="66">
        <f>E296*F296</f>
        <v>64.71649210507655</v>
      </c>
      <c r="H296" s="60">
        <f aca="true" t="shared" si="76" ref="H296:H307">G296/2000</f>
        <v>0.03235824605253828</v>
      </c>
    </row>
    <row r="297" spans="1:8" ht="12.75">
      <c r="A297" s="85" t="str">
        <f aca="true" t="shared" si="77" ref="A297:A306">A278</f>
        <v>Feb</v>
      </c>
      <c r="B297" s="57">
        <f aca="true" t="shared" si="78" ref="B297:B307">B67</f>
        <v>49.88014251531983</v>
      </c>
      <c r="C297" s="58">
        <f aca="true" t="shared" si="79" ref="C297:C307">C278</f>
        <v>0.15</v>
      </c>
      <c r="D297" s="57">
        <f t="shared" si="74"/>
        <v>449.42008406303165</v>
      </c>
      <c r="E297" s="57">
        <f t="shared" si="75"/>
        <v>67.41301260945474</v>
      </c>
      <c r="F297" s="59">
        <f aca="true" t="shared" si="80" ref="F297:F307">F278</f>
        <v>0.36</v>
      </c>
      <c r="G297" s="66">
        <f aca="true" t="shared" si="81" ref="G297:G307">E297*F297</f>
        <v>24.268684539403704</v>
      </c>
      <c r="H297" s="60">
        <f t="shared" si="76"/>
        <v>0.012134342269701852</v>
      </c>
    </row>
    <row r="298" spans="1:8" ht="12.75">
      <c r="A298" s="85" t="str">
        <f t="shared" si="77"/>
        <v>Mar</v>
      </c>
      <c r="B298" s="57">
        <f t="shared" si="78"/>
        <v>116.38699920241294</v>
      </c>
      <c r="C298" s="58">
        <f t="shared" si="79"/>
        <v>0.15</v>
      </c>
      <c r="D298" s="57">
        <f t="shared" si="74"/>
        <v>1048.6468628137407</v>
      </c>
      <c r="E298" s="57">
        <f t="shared" si="75"/>
        <v>157.2970294220611</v>
      </c>
      <c r="F298" s="59">
        <f t="shared" si="80"/>
        <v>0.36</v>
      </c>
      <c r="G298" s="66">
        <f t="shared" si="81"/>
        <v>56.62693059194199</v>
      </c>
      <c r="H298" s="60">
        <f t="shared" si="76"/>
        <v>0.028313465295970997</v>
      </c>
    </row>
    <row r="299" spans="1:8" ht="12.75">
      <c r="A299" s="85" t="str">
        <f t="shared" si="77"/>
        <v>Apr</v>
      </c>
      <c r="B299" s="57">
        <f t="shared" si="78"/>
        <v>99.76028503063966</v>
      </c>
      <c r="C299" s="58">
        <f t="shared" si="79"/>
        <v>0.15</v>
      </c>
      <c r="D299" s="57">
        <f t="shared" si="74"/>
        <v>898.8401681260633</v>
      </c>
      <c r="E299" s="57">
        <f t="shared" si="75"/>
        <v>134.82602521890948</v>
      </c>
      <c r="F299" s="59">
        <f t="shared" si="80"/>
        <v>0.36</v>
      </c>
      <c r="G299" s="66">
        <f t="shared" si="81"/>
        <v>48.53736907880741</v>
      </c>
      <c r="H299" s="60">
        <f t="shared" si="76"/>
        <v>0.024268684539403704</v>
      </c>
    </row>
    <row r="300" spans="1:8" ht="12.75">
      <c r="A300" s="85" t="str">
        <f t="shared" si="77"/>
        <v>May</v>
      </c>
      <c r="B300" s="57">
        <f t="shared" si="78"/>
        <v>83.13357085886638</v>
      </c>
      <c r="C300" s="58">
        <f t="shared" si="79"/>
        <v>0.15</v>
      </c>
      <c r="D300" s="57">
        <f t="shared" si="74"/>
        <v>749.0334734383861</v>
      </c>
      <c r="E300" s="57">
        <f t="shared" si="75"/>
        <v>112.35502101575791</v>
      </c>
      <c r="F300" s="59">
        <f t="shared" si="80"/>
        <v>0.36</v>
      </c>
      <c r="G300" s="66">
        <f t="shared" si="81"/>
        <v>40.447807565672846</v>
      </c>
      <c r="H300" s="60">
        <f t="shared" si="76"/>
        <v>0.020223903782836422</v>
      </c>
    </row>
    <row r="301" spans="1:8" ht="12.75">
      <c r="A301" s="85" t="str">
        <f t="shared" si="77"/>
        <v>Jun</v>
      </c>
      <c r="B301" s="57">
        <f t="shared" si="78"/>
        <v>83.13357085886638</v>
      </c>
      <c r="C301" s="58">
        <f t="shared" si="79"/>
        <v>0.15</v>
      </c>
      <c r="D301" s="57">
        <f t="shared" si="74"/>
        <v>749.0334734383861</v>
      </c>
      <c r="E301" s="57">
        <f t="shared" si="75"/>
        <v>112.35502101575791</v>
      </c>
      <c r="F301" s="59">
        <f t="shared" si="80"/>
        <v>0.36</v>
      </c>
      <c r="G301" s="66">
        <f t="shared" si="81"/>
        <v>40.447807565672846</v>
      </c>
      <c r="H301" s="60">
        <f t="shared" si="76"/>
        <v>0.020223903782836422</v>
      </c>
    </row>
    <row r="302" spans="1:8" ht="12.75">
      <c r="A302" s="85" t="str">
        <f t="shared" si="77"/>
        <v>Jul</v>
      </c>
      <c r="B302" s="57">
        <f t="shared" si="78"/>
        <v>83.13357085886638</v>
      </c>
      <c r="C302" s="58">
        <f t="shared" si="79"/>
        <v>0.15</v>
      </c>
      <c r="D302" s="57">
        <f t="shared" si="74"/>
        <v>749.0334734383861</v>
      </c>
      <c r="E302" s="57">
        <f t="shared" si="75"/>
        <v>112.35502101575791</v>
      </c>
      <c r="F302" s="59">
        <f t="shared" si="80"/>
        <v>0.36</v>
      </c>
      <c r="G302" s="66">
        <f t="shared" si="81"/>
        <v>40.447807565672846</v>
      </c>
      <c r="H302" s="60">
        <f t="shared" si="76"/>
        <v>0.020223903782836422</v>
      </c>
    </row>
    <row r="303" spans="1:8" ht="12.75">
      <c r="A303" s="85" t="str">
        <f t="shared" si="77"/>
        <v>Aug</v>
      </c>
      <c r="B303" s="57">
        <f t="shared" si="78"/>
        <v>0</v>
      </c>
      <c r="C303" s="58">
        <f t="shared" si="79"/>
        <v>0.15</v>
      </c>
      <c r="D303" s="57">
        <f t="shared" si="74"/>
        <v>0</v>
      </c>
      <c r="E303" s="57">
        <f t="shared" si="75"/>
        <v>0</v>
      </c>
      <c r="F303" s="59">
        <f t="shared" si="80"/>
        <v>0.36</v>
      </c>
      <c r="G303" s="66">
        <f t="shared" si="81"/>
        <v>0</v>
      </c>
      <c r="H303" s="60">
        <f t="shared" si="76"/>
        <v>0</v>
      </c>
    </row>
    <row r="304" spans="1:8" ht="12.75">
      <c r="A304" s="85" t="str">
        <f t="shared" si="77"/>
        <v>Sep</v>
      </c>
      <c r="B304" s="57">
        <f t="shared" si="78"/>
        <v>0</v>
      </c>
      <c r="C304" s="58">
        <f t="shared" si="79"/>
        <v>0.15</v>
      </c>
      <c r="D304" s="57">
        <f t="shared" si="74"/>
        <v>0</v>
      </c>
      <c r="E304" s="57">
        <f t="shared" si="75"/>
        <v>0</v>
      </c>
      <c r="F304" s="59">
        <f t="shared" si="80"/>
        <v>0.36</v>
      </c>
      <c r="G304" s="66">
        <f t="shared" si="81"/>
        <v>0</v>
      </c>
      <c r="H304" s="60">
        <f t="shared" si="76"/>
        <v>0</v>
      </c>
    </row>
    <row r="305" spans="1:8" ht="12.75">
      <c r="A305" s="85" t="str">
        <f t="shared" si="77"/>
        <v>Oct</v>
      </c>
      <c r="B305" s="57">
        <f t="shared" si="78"/>
        <v>0</v>
      </c>
      <c r="C305" s="58">
        <f t="shared" si="79"/>
        <v>0.15</v>
      </c>
      <c r="D305" s="57">
        <f t="shared" si="74"/>
        <v>0</v>
      </c>
      <c r="E305" s="57">
        <f t="shared" si="75"/>
        <v>0</v>
      </c>
      <c r="F305" s="59">
        <f t="shared" si="80"/>
        <v>0.36</v>
      </c>
      <c r="G305" s="66">
        <f t="shared" si="81"/>
        <v>0</v>
      </c>
      <c r="H305" s="60">
        <f t="shared" si="76"/>
        <v>0</v>
      </c>
    </row>
    <row r="306" spans="1:8" ht="12.75">
      <c r="A306" s="85" t="str">
        <f t="shared" si="77"/>
        <v>Nov</v>
      </c>
      <c r="B306" s="57">
        <f t="shared" si="78"/>
        <v>0</v>
      </c>
      <c r="C306" s="58">
        <f t="shared" si="79"/>
        <v>0.15</v>
      </c>
      <c r="D306" s="57">
        <f t="shared" si="74"/>
        <v>0</v>
      </c>
      <c r="E306" s="57">
        <f t="shared" si="75"/>
        <v>0</v>
      </c>
      <c r="F306" s="59">
        <f t="shared" si="80"/>
        <v>0.36</v>
      </c>
      <c r="G306" s="66">
        <f t="shared" si="81"/>
        <v>0</v>
      </c>
      <c r="H306" s="60">
        <f t="shared" si="76"/>
        <v>0</v>
      </c>
    </row>
    <row r="307" spans="1:8" ht="13.5" thickBot="1">
      <c r="A307" s="85" t="str">
        <f>A288</f>
        <v>Dec</v>
      </c>
      <c r="B307" s="57">
        <f t="shared" si="78"/>
        <v>0</v>
      </c>
      <c r="C307" s="58">
        <f t="shared" si="79"/>
        <v>0.15</v>
      </c>
      <c r="D307" s="57">
        <f t="shared" si="74"/>
        <v>0</v>
      </c>
      <c r="E307" s="57">
        <f t="shared" si="75"/>
        <v>0</v>
      </c>
      <c r="F307" s="59">
        <f t="shared" si="80"/>
        <v>0.36</v>
      </c>
      <c r="G307" s="66">
        <f t="shared" si="81"/>
        <v>0</v>
      </c>
      <c r="H307" s="60">
        <f t="shared" si="76"/>
        <v>0</v>
      </c>
    </row>
    <row r="308" spans="1:8" ht="13.5" thickBot="1">
      <c r="A308" s="50" t="s">
        <v>11</v>
      </c>
      <c r="B308" s="64">
        <f>SUM(B296:B307)</f>
        <v>648.4418526991578</v>
      </c>
      <c r="C308" s="64"/>
      <c r="D308" s="64">
        <f>SUM(D296:D307)</f>
        <v>5842.4610928194115</v>
      </c>
      <c r="E308" s="64">
        <f>SUM(E296:E307)</f>
        <v>876.3691639229115</v>
      </c>
      <c r="F308" s="64"/>
      <c r="G308" s="201">
        <f>SUM(G296:G307)</f>
        <v>315.49289901224824</v>
      </c>
      <c r="H308" s="65">
        <f>SUM(H296:H307)</f>
        <v>0.1577464495061241</v>
      </c>
    </row>
    <row r="309" spans="1:8" ht="12.75">
      <c r="A309" s="29"/>
      <c r="B309" s="25"/>
      <c r="C309" s="25"/>
      <c r="D309" s="25"/>
      <c r="E309" s="25"/>
      <c r="F309" s="31"/>
      <c r="G309" s="51"/>
      <c r="H309" s="25"/>
    </row>
    <row r="310" spans="1:8" ht="13.5" thickBot="1">
      <c r="A310" s="435" t="s">
        <v>223</v>
      </c>
      <c r="B310" s="435"/>
      <c r="C310" s="435"/>
      <c r="D310" s="435"/>
      <c r="E310" s="435"/>
      <c r="F310" s="435"/>
      <c r="G310" s="435"/>
      <c r="H310" s="435"/>
    </row>
    <row r="311" spans="1:8" ht="24.75" thickBot="1">
      <c r="A311" s="46" t="s">
        <v>6</v>
      </c>
      <c r="B311" s="47" t="s">
        <v>7</v>
      </c>
      <c r="C311" s="47" t="s">
        <v>12</v>
      </c>
      <c r="D311" s="47" t="s">
        <v>9</v>
      </c>
      <c r="E311" s="48" t="s">
        <v>13</v>
      </c>
      <c r="F311" s="48" t="s">
        <v>3</v>
      </c>
      <c r="G311" s="200" t="s">
        <v>14</v>
      </c>
      <c r="H311" s="48" t="s">
        <v>15</v>
      </c>
    </row>
    <row r="312" spans="1:8" ht="13.5" thickBot="1">
      <c r="A312" s="392" t="s">
        <v>225</v>
      </c>
      <c r="B312" s="395"/>
      <c r="C312" s="395"/>
      <c r="D312" s="395"/>
      <c r="E312" s="395"/>
      <c r="F312" s="395"/>
      <c r="G312" s="395"/>
      <c r="H312" s="396"/>
    </row>
    <row r="313" spans="1:8" ht="12.75">
      <c r="A313" s="55"/>
      <c r="B313" s="19"/>
      <c r="C313" s="19"/>
      <c r="D313" s="19"/>
      <c r="E313" s="19"/>
      <c r="F313" s="19"/>
      <c r="G313" s="66"/>
      <c r="H313" s="56"/>
    </row>
    <row r="314" spans="1:8" ht="12.75">
      <c r="A314" s="85" t="str">
        <f aca="true" t="shared" si="82" ref="A314:A325">A188</f>
        <v>Jan</v>
      </c>
      <c r="B314" s="57">
        <f aca="true" t="shared" si="83" ref="B314:B325">B83</f>
        <v>0</v>
      </c>
      <c r="C314" s="58">
        <v>0.15</v>
      </c>
      <c r="D314" s="57">
        <f aca="true" t="shared" si="84" ref="D314:D325">B314*9.01</f>
        <v>0</v>
      </c>
      <c r="E314" s="57">
        <f aca="true" t="shared" si="85" ref="E314:E325">D314*C314</f>
        <v>0</v>
      </c>
      <c r="F314" s="59">
        <v>0.37</v>
      </c>
      <c r="G314" s="66">
        <f>F314*E314</f>
        <v>0</v>
      </c>
      <c r="H314" s="60">
        <f aca="true" t="shared" si="86" ref="H314:H325">G314/2000</f>
        <v>0</v>
      </c>
    </row>
    <row r="315" spans="1:8" ht="12.75">
      <c r="A315" s="85" t="str">
        <f t="shared" si="82"/>
        <v>Feb</v>
      </c>
      <c r="B315" s="57">
        <f t="shared" si="83"/>
        <v>0</v>
      </c>
      <c r="C315" s="58">
        <v>0.15</v>
      </c>
      <c r="D315" s="57">
        <f t="shared" si="84"/>
        <v>0</v>
      </c>
      <c r="E315" s="57">
        <f t="shared" si="85"/>
        <v>0</v>
      </c>
      <c r="F315" s="59">
        <v>0.37</v>
      </c>
      <c r="G315" s="66">
        <f aca="true" t="shared" si="87" ref="G315:G325">F315*E315</f>
        <v>0</v>
      </c>
      <c r="H315" s="60">
        <f t="shared" si="86"/>
        <v>0</v>
      </c>
    </row>
    <row r="316" spans="1:8" ht="12.75">
      <c r="A316" s="85" t="str">
        <f t="shared" si="82"/>
        <v>Mar</v>
      </c>
      <c r="B316" s="57">
        <f t="shared" si="83"/>
        <v>0</v>
      </c>
      <c r="C316" s="58">
        <v>0.15</v>
      </c>
      <c r="D316" s="57">
        <f t="shared" si="84"/>
        <v>0</v>
      </c>
      <c r="E316" s="57">
        <f t="shared" si="85"/>
        <v>0</v>
      </c>
      <c r="F316" s="59">
        <v>0.37</v>
      </c>
      <c r="G316" s="66">
        <f t="shared" si="87"/>
        <v>0</v>
      </c>
      <c r="H316" s="60">
        <f t="shared" si="86"/>
        <v>0</v>
      </c>
    </row>
    <row r="317" spans="1:8" ht="12.75">
      <c r="A317" s="85" t="str">
        <f t="shared" si="82"/>
        <v>Apr</v>
      </c>
      <c r="B317" s="57">
        <f t="shared" si="83"/>
        <v>0</v>
      </c>
      <c r="C317" s="58">
        <v>0.15</v>
      </c>
      <c r="D317" s="57">
        <f t="shared" si="84"/>
        <v>0</v>
      </c>
      <c r="E317" s="57">
        <f t="shared" si="85"/>
        <v>0</v>
      </c>
      <c r="F317" s="59">
        <v>0.37</v>
      </c>
      <c r="G317" s="66">
        <f t="shared" si="87"/>
        <v>0</v>
      </c>
      <c r="H317" s="60">
        <f t="shared" si="86"/>
        <v>0</v>
      </c>
    </row>
    <row r="318" spans="1:8" ht="12.75">
      <c r="A318" s="85" t="str">
        <f t="shared" si="82"/>
        <v>May</v>
      </c>
      <c r="B318" s="57">
        <f t="shared" si="83"/>
        <v>0</v>
      </c>
      <c r="C318" s="58">
        <v>0.15</v>
      </c>
      <c r="D318" s="57">
        <f t="shared" si="84"/>
        <v>0</v>
      </c>
      <c r="E318" s="57">
        <f t="shared" si="85"/>
        <v>0</v>
      </c>
      <c r="F318" s="59">
        <v>0.37</v>
      </c>
      <c r="G318" s="66">
        <f t="shared" si="87"/>
        <v>0</v>
      </c>
      <c r="H318" s="60">
        <f t="shared" si="86"/>
        <v>0</v>
      </c>
    </row>
    <row r="319" spans="1:8" ht="12.75">
      <c r="A319" s="85" t="str">
        <f t="shared" si="82"/>
        <v>Jun</v>
      </c>
      <c r="B319" s="57">
        <f t="shared" si="83"/>
        <v>0</v>
      </c>
      <c r="C319" s="58">
        <v>0.15</v>
      </c>
      <c r="D319" s="57">
        <f t="shared" si="84"/>
        <v>0</v>
      </c>
      <c r="E319" s="57">
        <f t="shared" si="85"/>
        <v>0</v>
      </c>
      <c r="F319" s="59">
        <v>0.37</v>
      </c>
      <c r="G319" s="66">
        <f t="shared" si="87"/>
        <v>0</v>
      </c>
      <c r="H319" s="60">
        <f t="shared" si="86"/>
        <v>0</v>
      </c>
    </row>
    <row r="320" spans="1:8" ht="12.75">
      <c r="A320" s="85" t="str">
        <f t="shared" si="82"/>
        <v>Jul</v>
      </c>
      <c r="B320" s="57">
        <f t="shared" si="83"/>
        <v>0</v>
      </c>
      <c r="C320" s="58">
        <v>0.15</v>
      </c>
      <c r="D320" s="57">
        <f t="shared" si="84"/>
        <v>0</v>
      </c>
      <c r="E320" s="57">
        <f t="shared" si="85"/>
        <v>0</v>
      </c>
      <c r="F320" s="59">
        <v>0.37</v>
      </c>
      <c r="G320" s="66">
        <f t="shared" si="87"/>
        <v>0</v>
      </c>
      <c r="H320" s="60">
        <f t="shared" si="86"/>
        <v>0</v>
      </c>
    </row>
    <row r="321" spans="1:8" ht="12.75">
      <c r="A321" s="85" t="str">
        <f t="shared" si="82"/>
        <v>Aug</v>
      </c>
      <c r="B321" s="57">
        <f t="shared" si="83"/>
        <v>0</v>
      </c>
      <c r="C321" s="58">
        <v>0.15</v>
      </c>
      <c r="D321" s="57">
        <f t="shared" si="84"/>
        <v>0</v>
      </c>
      <c r="E321" s="57">
        <f t="shared" si="85"/>
        <v>0</v>
      </c>
      <c r="F321" s="59">
        <v>0.37</v>
      </c>
      <c r="G321" s="66">
        <f t="shared" si="87"/>
        <v>0</v>
      </c>
      <c r="H321" s="60">
        <f t="shared" si="86"/>
        <v>0</v>
      </c>
    </row>
    <row r="322" spans="1:8" ht="12.75">
      <c r="A322" s="85" t="str">
        <f t="shared" si="82"/>
        <v>Sep</v>
      </c>
      <c r="B322" s="57">
        <f t="shared" si="83"/>
        <v>0</v>
      </c>
      <c r="C322" s="58">
        <v>0.15</v>
      </c>
      <c r="D322" s="57">
        <f t="shared" si="84"/>
        <v>0</v>
      </c>
      <c r="E322" s="57">
        <f t="shared" si="85"/>
        <v>0</v>
      </c>
      <c r="F322" s="59">
        <v>0.37</v>
      </c>
      <c r="G322" s="66">
        <f t="shared" si="87"/>
        <v>0</v>
      </c>
      <c r="H322" s="60">
        <f t="shared" si="86"/>
        <v>0</v>
      </c>
    </row>
    <row r="323" spans="1:8" ht="12.75">
      <c r="A323" s="85" t="str">
        <f t="shared" si="82"/>
        <v>Oct</v>
      </c>
      <c r="B323" s="57">
        <f t="shared" si="83"/>
        <v>0</v>
      </c>
      <c r="C323" s="58">
        <v>0.15</v>
      </c>
      <c r="D323" s="57">
        <f t="shared" si="84"/>
        <v>0</v>
      </c>
      <c r="E323" s="57">
        <f t="shared" si="85"/>
        <v>0</v>
      </c>
      <c r="F323" s="59">
        <v>0.37</v>
      </c>
      <c r="G323" s="66">
        <f t="shared" si="87"/>
        <v>0</v>
      </c>
      <c r="H323" s="60">
        <f t="shared" si="86"/>
        <v>0</v>
      </c>
    </row>
    <row r="324" spans="1:8" ht="12.75">
      <c r="A324" s="85" t="str">
        <f t="shared" si="82"/>
        <v>Nov</v>
      </c>
      <c r="B324" s="57">
        <f t="shared" si="83"/>
        <v>0</v>
      </c>
      <c r="C324" s="58">
        <v>0.15</v>
      </c>
      <c r="D324" s="57">
        <f t="shared" si="84"/>
        <v>0</v>
      </c>
      <c r="E324" s="57">
        <f t="shared" si="85"/>
        <v>0</v>
      </c>
      <c r="F324" s="59">
        <v>0.37</v>
      </c>
      <c r="G324" s="66">
        <f t="shared" si="87"/>
        <v>0</v>
      </c>
      <c r="H324" s="60">
        <f t="shared" si="86"/>
        <v>0</v>
      </c>
    </row>
    <row r="325" spans="1:8" ht="13.5" thickBot="1">
      <c r="A325" s="85" t="str">
        <f t="shared" si="82"/>
        <v>Dec</v>
      </c>
      <c r="B325" s="57">
        <f t="shared" si="83"/>
        <v>0</v>
      </c>
      <c r="C325" s="58">
        <v>0.15</v>
      </c>
      <c r="D325" s="57">
        <f t="shared" si="84"/>
        <v>0</v>
      </c>
      <c r="E325" s="57">
        <f t="shared" si="85"/>
        <v>0</v>
      </c>
      <c r="F325" s="59">
        <v>0.37</v>
      </c>
      <c r="G325" s="66">
        <f t="shared" si="87"/>
        <v>0</v>
      </c>
      <c r="H325" s="60">
        <f t="shared" si="86"/>
        <v>0</v>
      </c>
    </row>
    <row r="326" spans="1:8" ht="14.25" thickBot="1" thickTop="1">
      <c r="A326" s="61" t="s">
        <v>11</v>
      </c>
      <c r="B326" s="62">
        <f>SUM(B314:B325)</f>
        <v>0</v>
      </c>
      <c r="C326" s="62"/>
      <c r="D326" s="62">
        <f>SUM(D314:D325)</f>
        <v>0</v>
      </c>
      <c r="E326" s="62">
        <f>SUM(E314:E325)</f>
        <v>0</v>
      </c>
      <c r="F326" s="62"/>
      <c r="G326" s="70">
        <f>SUM(G314:G325)</f>
        <v>0</v>
      </c>
      <c r="H326" s="63">
        <f>SUM(H314:H325)</f>
        <v>0</v>
      </c>
    </row>
    <row r="327" spans="1:8" ht="12.75">
      <c r="A327" s="29"/>
      <c r="B327" s="25"/>
      <c r="C327" s="25"/>
      <c r="D327" s="25"/>
      <c r="E327" s="25"/>
      <c r="F327" s="31"/>
      <c r="G327" s="51"/>
      <c r="H327" s="25"/>
    </row>
    <row r="328" spans="1:8" ht="13.5" thickBot="1">
      <c r="A328" s="435" t="s">
        <v>223</v>
      </c>
      <c r="B328" s="435"/>
      <c r="C328" s="435"/>
      <c r="D328" s="435"/>
      <c r="E328" s="435"/>
      <c r="F328" s="435"/>
      <c r="G328" s="435"/>
      <c r="H328" s="435"/>
    </row>
    <row r="329" spans="1:8" ht="24.75" thickBot="1">
      <c r="A329" s="46" t="s">
        <v>6</v>
      </c>
      <c r="B329" s="47" t="s">
        <v>7</v>
      </c>
      <c r="C329" s="47" t="s">
        <v>12</v>
      </c>
      <c r="D329" s="47" t="s">
        <v>9</v>
      </c>
      <c r="E329" s="48" t="s">
        <v>13</v>
      </c>
      <c r="F329" s="48" t="s">
        <v>3</v>
      </c>
      <c r="G329" s="200" t="s">
        <v>14</v>
      </c>
      <c r="H329" s="48" t="s">
        <v>15</v>
      </c>
    </row>
    <row r="330" spans="1:8" ht="13.5" thickBot="1">
      <c r="A330" s="392" t="s">
        <v>233</v>
      </c>
      <c r="B330" s="395"/>
      <c r="C330" s="395"/>
      <c r="D330" s="395"/>
      <c r="E330" s="395"/>
      <c r="F330" s="395"/>
      <c r="G330" s="395"/>
      <c r="H330" s="396"/>
    </row>
    <row r="331" spans="1:8" ht="12.75">
      <c r="A331" s="85" t="str">
        <f aca="true" t="shared" si="88" ref="A331:A342">A205</f>
        <v>Jan</v>
      </c>
      <c r="B331" s="57">
        <f>B100</f>
        <v>110</v>
      </c>
      <c r="C331" s="58">
        <v>0.125</v>
      </c>
      <c r="D331" s="57">
        <f>B331*9.08</f>
        <v>998.8</v>
      </c>
      <c r="E331" s="57">
        <f>D331*C331</f>
        <v>124.85</v>
      </c>
      <c r="F331" s="59">
        <v>0.37</v>
      </c>
      <c r="G331" s="66">
        <f>F331*E331</f>
        <v>46.1945</v>
      </c>
      <c r="H331" s="60">
        <f aca="true" t="shared" si="89" ref="H331:H342">G331/2000</f>
        <v>0.02309725</v>
      </c>
    </row>
    <row r="332" spans="1:8" ht="12.75">
      <c r="A332" s="85" t="str">
        <f t="shared" si="88"/>
        <v>Feb</v>
      </c>
      <c r="B332" s="57">
        <f aca="true" t="shared" si="90" ref="B332:B342">B101</f>
        <v>110</v>
      </c>
      <c r="C332" s="58">
        <v>0.125</v>
      </c>
      <c r="D332" s="57">
        <f>B332*9.08</f>
        <v>998.8</v>
      </c>
      <c r="E332" s="57">
        <f aca="true" t="shared" si="91" ref="E332:E342">D332*C332</f>
        <v>124.85</v>
      </c>
      <c r="F332" s="59">
        <v>0.37</v>
      </c>
      <c r="G332" s="66">
        <f>F332*E332</f>
        <v>46.1945</v>
      </c>
      <c r="H332" s="60">
        <f t="shared" si="89"/>
        <v>0.02309725</v>
      </c>
    </row>
    <row r="333" spans="1:8" ht="12.75">
      <c r="A333" s="85" t="str">
        <f t="shared" si="88"/>
        <v>Mar</v>
      </c>
      <c r="B333" s="57">
        <f t="shared" si="90"/>
        <v>165</v>
      </c>
      <c r="C333" s="58">
        <v>0.125</v>
      </c>
      <c r="D333" s="57">
        <f>B333*9.08</f>
        <v>1498.2</v>
      </c>
      <c r="E333" s="57">
        <f t="shared" si="91"/>
        <v>187.275</v>
      </c>
      <c r="F333" s="59">
        <v>0.37</v>
      </c>
      <c r="G333" s="66">
        <f aca="true" t="shared" si="92" ref="G333:G342">F333*E333</f>
        <v>69.29175000000001</v>
      </c>
      <c r="H333" s="60">
        <f t="shared" si="89"/>
        <v>0.034645875000000007</v>
      </c>
    </row>
    <row r="334" spans="1:8" ht="12.75">
      <c r="A334" s="85" t="str">
        <f t="shared" si="88"/>
        <v>Apr</v>
      </c>
      <c r="B334" s="57">
        <f t="shared" si="90"/>
        <v>165</v>
      </c>
      <c r="C334" s="58">
        <v>0.125</v>
      </c>
      <c r="D334" s="57">
        <f aca="true" t="shared" si="93" ref="D334:D342">B334*9.08</f>
        <v>1498.2</v>
      </c>
      <c r="E334" s="57">
        <f t="shared" si="91"/>
        <v>187.275</v>
      </c>
      <c r="F334" s="59">
        <v>0.37</v>
      </c>
      <c r="G334" s="66">
        <f t="shared" si="92"/>
        <v>69.29175000000001</v>
      </c>
      <c r="H334" s="60">
        <f t="shared" si="89"/>
        <v>0.034645875000000007</v>
      </c>
    </row>
    <row r="335" spans="1:8" ht="12.75">
      <c r="A335" s="85" t="str">
        <f t="shared" si="88"/>
        <v>May</v>
      </c>
      <c r="B335" s="57">
        <f t="shared" si="90"/>
        <v>110</v>
      </c>
      <c r="C335" s="58">
        <v>0.125</v>
      </c>
      <c r="D335" s="57">
        <f t="shared" si="93"/>
        <v>998.8</v>
      </c>
      <c r="E335" s="57">
        <f t="shared" si="91"/>
        <v>124.85</v>
      </c>
      <c r="F335" s="59">
        <v>0.37</v>
      </c>
      <c r="G335" s="66">
        <f t="shared" si="92"/>
        <v>46.1945</v>
      </c>
      <c r="H335" s="60">
        <f t="shared" si="89"/>
        <v>0.02309725</v>
      </c>
    </row>
    <row r="336" spans="1:8" ht="12.75">
      <c r="A336" s="85" t="str">
        <f t="shared" si="88"/>
        <v>Jun</v>
      </c>
      <c r="B336" s="57">
        <f t="shared" si="90"/>
        <v>110</v>
      </c>
      <c r="C336" s="58">
        <v>0.125</v>
      </c>
      <c r="D336" s="57">
        <f t="shared" si="93"/>
        <v>998.8</v>
      </c>
      <c r="E336" s="57">
        <f t="shared" si="91"/>
        <v>124.85</v>
      </c>
      <c r="F336" s="59">
        <v>0.37</v>
      </c>
      <c r="G336" s="66">
        <f t="shared" si="92"/>
        <v>46.1945</v>
      </c>
      <c r="H336" s="60">
        <f t="shared" si="89"/>
        <v>0.02309725</v>
      </c>
    </row>
    <row r="337" spans="1:8" ht="12.75">
      <c r="A337" s="85" t="str">
        <f t="shared" si="88"/>
        <v>Jul</v>
      </c>
      <c r="B337" s="57">
        <f t="shared" si="90"/>
        <v>110</v>
      </c>
      <c r="C337" s="58">
        <v>0.125</v>
      </c>
      <c r="D337" s="57">
        <f t="shared" si="93"/>
        <v>998.8</v>
      </c>
      <c r="E337" s="57">
        <f t="shared" si="91"/>
        <v>124.85</v>
      </c>
      <c r="F337" s="59">
        <v>0.37</v>
      </c>
      <c r="G337" s="66">
        <f t="shared" si="92"/>
        <v>46.1945</v>
      </c>
      <c r="H337" s="60">
        <f t="shared" si="89"/>
        <v>0.02309725</v>
      </c>
    </row>
    <row r="338" spans="1:8" ht="12.75">
      <c r="A338" s="85" t="str">
        <f t="shared" si="88"/>
        <v>Aug</v>
      </c>
      <c r="B338" s="57">
        <f t="shared" si="90"/>
        <v>0</v>
      </c>
      <c r="C338" s="58">
        <v>0.125</v>
      </c>
      <c r="D338" s="57">
        <f t="shared" si="93"/>
        <v>0</v>
      </c>
      <c r="E338" s="57">
        <f t="shared" si="91"/>
        <v>0</v>
      </c>
      <c r="F338" s="59">
        <v>0.37</v>
      </c>
      <c r="G338" s="66">
        <f t="shared" si="92"/>
        <v>0</v>
      </c>
      <c r="H338" s="60">
        <f t="shared" si="89"/>
        <v>0</v>
      </c>
    </row>
    <row r="339" spans="1:8" ht="12.75">
      <c r="A339" s="85" t="str">
        <f t="shared" si="88"/>
        <v>Sep</v>
      </c>
      <c r="B339" s="57">
        <f t="shared" si="90"/>
        <v>0</v>
      </c>
      <c r="C339" s="58">
        <v>0.125</v>
      </c>
      <c r="D339" s="57">
        <f t="shared" si="93"/>
        <v>0</v>
      </c>
      <c r="E339" s="57">
        <f t="shared" si="91"/>
        <v>0</v>
      </c>
      <c r="F339" s="59">
        <v>0.37</v>
      </c>
      <c r="G339" s="66">
        <f t="shared" si="92"/>
        <v>0</v>
      </c>
      <c r="H339" s="60">
        <f t="shared" si="89"/>
        <v>0</v>
      </c>
    </row>
    <row r="340" spans="1:8" ht="12.75">
      <c r="A340" s="85" t="str">
        <f t="shared" si="88"/>
        <v>Oct</v>
      </c>
      <c r="B340" s="57">
        <f t="shared" si="90"/>
        <v>0</v>
      </c>
      <c r="C340" s="58">
        <v>0.125</v>
      </c>
      <c r="D340" s="57">
        <f t="shared" si="93"/>
        <v>0</v>
      </c>
      <c r="E340" s="57">
        <f t="shared" si="91"/>
        <v>0</v>
      </c>
      <c r="F340" s="59">
        <v>0.37</v>
      </c>
      <c r="G340" s="66">
        <f t="shared" si="92"/>
        <v>0</v>
      </c>
      <c r="H340" s="60">
        <f t="shared" si="89"/>
        <v>0</v>
      </c>
    </row>
    <row r="341" spans="1:8" ht="12.75">
      <c r="A341" s="85" t="str">
        <f t="shared" si="88"/>
        <v>Nov</v>
      </c>
      <c r="B341" s="57">
        <f t="shared" si="90"/>
        <v>0</v>
      </c>
      <c r="C341" s="58">
        <v>0.125</v>
      </c>
      <c r="D341" s="57">
        <f t="shared" si="93"/>
        <v>0</v>
      </c>
      <c r="E341" s="57">
        <f t="shared" si="91"/>
        <v>0</v>
      </c>
      <c r="F341" s="59">
        <v>0.37</v>
      </c>
      <c r="G341" s="66">
        <f t="shared" si="92"/>
        <v>0</v>
      </c>
      <c r="H341" s="60">
        <f t="shared" si="89"/>
        <v>0</v>
      </c>
    </row>
    <row r="342" spans="1:8" ht="13.5" thickBot="1">
      <c r="A342" s="85" t="str">
        <f t="shared" si="88"/>
        <v>Dec</v>
      </c>
      <c r="B342" s="57">
        <f t="shared" si="90"/>
        <v>0</v>
      </c>
      <c r="C342" s="58">
        <v>0.125</v>
      </c>
      <c r="D342" s="57">
        <f t="shared" si="93"/>
        <v>0</v>
      </c>
      <c r="E342" s="57">
        <f t="shared" si="91"/>
        <v>0</v>
      </c>
      <c r="F342" s="59">
        <v>0.37</v>
      </c>
      <c r="G342" s="66">
        <f t="shared" si="92"/>
        <v>0</v>
      </c>
      <c r="H342" s="60">
        <f t="shared" si="89"/>
        <v>0</v>
      </c>
    </row>
    <row r="343" spans="1:8" ht="14.25" thickBot="1" thickTop="1">
      <c r="A343" s="61" t="s">
        <v>11</v>
      </c>
      <c r="B343" s="62">
        <f>SUM(B332:B342)</f>
        <v>770</v>
      </c>
      <c r="C343" s="62"/>
      <c r="D343" s="62">
        <f>SUM(D332:D342)</f>
        <v>6991.6</v>
      </c>
      <c r="E343" s="62">
        <f>SUM(E332:E342)</f>
        <v>873.95</v>
      </c>
      <c r="F343" s="62"/>
      <c r="G343" s="70">
        <f>SUM(G332:G342)</f>
        <v>323.36150000000004</v>
      </c>
      <c r="H343" s="63">
        <f>SUM(H332:H342)</f>
        <v>0.16168075000000004</v>
      </c>
    </row>
    <row r="344" spans="3:8" ht="13.5" thickBot="1">
      <c r="C344"/>
      <c r="E344"/>
      <c r="F344"/>
      <c r="G344" s="195"/>
      <c r="H344"/>
    </row>
    <row r="345" spans="1:8" ht="13.5" thickBot="1">
      <c r="A345" s="405" t="s">
        <v>0</v>
      </c>
      <c r="B345" s="406"/>
      <c r="C345" s="406"/>
      <c r="D345" s="406"/>
      <c r="E345" s="406"/>
      <c r="F345" s="406"/>
      <c r="G345" s="406"/>
      <c r="H345" s="407"/>
    </row>
    <row r="346" spans="1:8" ht="14.25" thickBot="1" thickTop="1">
      <c r="A346" s="398" t="s">
        <v>22</v>
      </c>
      <c r="B346" s="399"/>
      <c r="C346" s="399"/>
      <c r="D346" s="399"/>
      <c r="E346" s="399"/>
      <c r="F346" s="399"/>
      <c r="G346" s="399"/>
      <c r="H346" s="400"/>
    </row>
    <row r="347" spans="1:8" ht="12.75">
      <c r="A347" s="44"/>
      <c r="B347" s="45"/>
      <c r="C347" s="45"/>
      <c r="D347" s="45"/>
      <c r="E347" s="10"/>
      <c r="F347" s="10"/>
      <c r="G347" s="202"/>
      <c r="H347" s="10"/>
    </row>
    <row r="348" spans="1:8" ht="12.75">
      <c r="A348" s="18"/>
      <c r="B348" s="7"/>
      <c r="C348" s="7"/>
      <c r="D348" s="7"/>
      <c r="E348" s="7"/>
      <c r="F348" s="7"/>
      <c r="G348" s="13"/>
      <c r="H348" s="7"/>
    </row>
    <row r="349" spans="1:8" ht="13.5" thickBot="1">
      <c r="A349" s="397" t="s">
        <v>181</v>
      </c>
      <c r="B349" s="397"/>
      <c r="C349" s="397"/>
      <c r="D349" s="397"/>
      <c r="E349" s="397"/>
      <c r="F349" s="397"/>
      <c r="G349" s="397"/>
      <c r="H349" s="397"/>
    </row>
    <row r="350" spans="1:8" ht="24.75" thickBot="1">
      <c r="A350" s="46" t="s">
        <v>6</v>
      </c>
      <c r="B350" s="47" t="s">
        <v>7</v>
      </c>
      <c r="C350" s="47" t="s">
        <v>12</v>
      </c>
      <c r="D350" s="47" t="s">
        <v>9</v>
      </c>
      <c r="E350" s="48" t="s">
        <v>13</v>
      </c>
      <c r="F350" s="48" t="s">
        <v>3</v>
      </c>
      <c r="G350" s="200" t="s">
        <v>14</v>
      </c>
      <c r="H350" s="48" t="s">
        <v>15</v>
      </c>
    </row>
    <row r="351" spans="1:8" ht="13.5" thickBot="1">
      <c r="A351" s="392" t="s">
        <v>56</v>
      </c>
      <c r="B351" s="395"/>
      <c r="C351" s="395"/>
      <c r="D351" s="395"/>
      <c r="E351" s="395"/>
      <c r="F351" s="395"/>
      <c r="G351" s="395"/>
      <c r="H351" s="396"/>
    </row>
    <row r="352" spans="1:8" ht="12.75">
      <c r="A352" s="55"/>
      <c r="B352" s="19"/>
      <c r="C352" s="19"/>
      <c r="D352" s="19"/>
      <c r="E352" s="19"/>
      <c r="F352" s="19"/>
      <c r="G352" s="66"/>
      <c r="H352" s="56"/>
    </row>
    <row r="353" spans="1:8" ht="12.75">
      <c r="A353" s="85" t="str">
        <f aca="true" t="shared" si="94" ref="A353:A364">A389</f>
        <v>Jan</v>
      </c>
      <c r="B353" s="66">
        <f>B171</f>
        <v>0</v>
      </c>
      <c r="C353" s="58">
        <f aca="true" t="shared" si="95" ref="C353:C364">C389</f>
        <v>0.3</v>
      </c>
      <c r="D353" s="57">
        <f aca="true" t="shared" si="96" ref="D353:D364">B353*6.83</f>
        <v>0</v>
      </c>
      <c r="E353" s="57">
        <f aca="true" t="shared" si="97" ref="E353:E364">D353*C353</f>
        <v>0</v>
      </c>
      <c r="F353" s="59">
        <v>1</v>
      </c>
      <c r="G353" s="66">
        <f>E353*F353</f>
        <v>0</v>
      </c>
      <c r="H353" s="60">
        <f aca="true" t="shared" si="98" ref="H353:H364">G353/2000</f>
        <v>0</v>
      </c>
    </row>
    <row r="354" spans="1:8" ht="12.75">
      <c r="A354" s="85" t="str">
        <f t="shared" si="94"/>
        <v>Feb</v>
      </c>
      <c r="B354" s="66">
        <f aca="true" t="shared" si="99" ref="B354:B364">B172</f>
        <v>47.88927559590063</v>
      </c>
      <c r="C354" s="58">
        <f t="shared" si="95"/>
        <v>0.3</v>
      </c>
      <c r="D354" s="57">
        <f t="shared" si="96"/>
        <v>327.0837523200013</v>
      </c>
      <c r="E354" s="57">
        <f t="shared" si="97"/>
        <v>98.12512569600038</v>
      </c>
      <c r="F354" s="59">
        <v>1</v>
      </c>
      <c r="G354" s="66">
        <f aca="true" t="shared" si="100" ref="G354:G364">E354*F354</f>
        <v>98.12512569600038</v>
      </c>
      <c r="H354" s="60">
        <f t="shared" si="98"/>
        <v>0.04906256284800019</v>
      </c>
    </row>
    <row r="355" spans="1:8" ht="12.75">
      <c r="A355" s="85" t="str">
        <f t="shared" si="94"/>
        <v>Mar</v>
      </c>
      <c r="B355" s="66">
        <f t="shared" si="99"/>
        <v>0</v>
      </c>
      <c r="C355" s="58">
        <f t="shared" si="95"/>
        <v>0.3</v>
      </c>
      <c r="D355" s="57">
        <f t="shared" si="96"/>
        <v>0</v>
      </c>
      <c r="E355" s="57">
        <f t="shared" si="97"/>
        <v>0</v>
      </c>
      <c r="F355" s="59">
        <v>1</v>
      </c>
      <c r="G355" s="66">
        <f t="shared" si="100"/>
        <v>0</v>
      </c>
      <c r="H355" s="60">
        <f t="shared" si="98"/>
        <v>0</v>
      </c>
    </row>
    <row r="356" spans="1:8" ht="12.75">
      <c r="A356" s="85" t="str">
        <f t="shared" si="94"/>
        <v>Apr</v>
      </c>
      <c r="B356" s="66">
        <f t="shared" si="99"/>
        <v>23.944637797950314</v>
      </c>
      <c r="C356" s="58">
        <f t="shared" si="95"/>
        <v>0.3</v>
      </c>
      <c r="D356" s="57">
        <f t="shared" si="96"/>
        <v>163.54187616000064</v>
      </c>
      <c r="E356" s="57">
        <f t="shared" si="97"/>
        <v>49.06256284800019</v>
      </c>
      <c r="F356" s="59">
        <v>1</v>
      </c>
      <c r="G356" s="66">
        <f t="shared" si="100"/>
        <v>49.06256284800019</v>
      </c>
      <c r="H356" s="60">
        <f t="shared" si="98"/>
        <v>0.024531281424000094</v>
      </c>
    </row>
    <row r="357" spans="1:8" ht="12.75">
      <c r="A357" s="85" t="str">
        <f t="shared" si="94"/>
        <v>May</v>
      </c>
      <c r="B357" s="66">
        <f t="shared" si="99"/>
        <v>0</v>
      </c>
      <c r="C357" s="58">
        <f t="shared" si="95"/>
        <v>0.3</v>
      </c>
      <c r="D357" s="57">
        <f t="shared" si="96"/>
        <v>0</v>
      </c>
      <c r="E357" s="57">
        <f t="shared" si="97"/>
        <v>0</v>
      </c>
      <c r="F357" s="59">
        <v>1</v>
      </c>
      <c r="G357" s="66">
        <f t="shared" si="100"/>
        <v>0</v>
      </c>
      <c r="H357" s="60">
        <f t="shared" si="98"/>
        <v>0</v>
      </c>
    </row>
    <row r="358" spans="1:8" ht="12.75">
      <c r="A358" s="85" t="str">
        <f t="shared" si="94"/>
        <v>Jun</v>
      </c>
      <c r="B358" s="66">
        <f t="shared" si="99"/>
        <v>0</v>
      </c>
      <c r="C358" s="58">
        <f t="shared" si="95"/>
        <v>0.3</v>
      </c>
      <c r="D358" s="57">
        <f t="shared" si="96"/>
        <v>0</v>
      </c>
      <c r="E358" s="57">
        <f t="shared" si="97"/>
        <v>0</v>
      </c>
      <c r="F358" s="59">
        <v>1</v>
      </c>
      <c r="G358" s="66">
        <f t="shared" si="100"/>
        <v>0</v>
      </c>
      <c r="H358" s="60">
        <f t="shared" si="98"/>
        <v>0</v>
      </c>
    </row>
    <row r="359" spans="1:8" ht="12.75">
      <c r="A359" s="85" t="str">
        <f t="shared" si="94"/>
        <v>Jul</v>
      </c>
      <c r="B359" s="66">
        <f t="shared" si="99"/>
        <v>23.944637797950314</v>
      </c>
      <c r="C359" s="58">
        <f t="shared" si="95"/>
        <v>0.3</v>
      </c>
      <c r="D359" s="57">
        <f t="shared" si="96"/>
        <v>163.54187616000064</v>
      </c>
      <c r="E359" s="57">
        <f t="shared" si="97"/>
        <v>49.06256284800019</v>
      </c>
      <c r="F359" s="59">
        <v>1</v>
      </c>
      <c r="G359" s="66">
        <f t="shared" si="100"/>
        <v>49.06256284800019</v>
      </c>
      <c r="H359" s="60">
        <f t="shared" si="98"/>
        <v>0.024531281424000094</v>
      </c>
    </row>
    <row r="360" spans="1:8" ht="12.75">
      <c r="A360" s="85" t="str">
        <f t="shared" si="94"/>
        <v>Aug</v>
      </c>
      <c r="B360" s="66">
        <f t="shared" si="99"/>
        <v>0</v>
      </c>
      <c r="C360" s="58">
        <f t="shared" si="95"/>
        <v>0.3</v>
      </c>
      <c r="D360" s="57">
        <f t="shared" si="96"/>
        <v>0</v>
      </c>
      <c r="E360" s="57">
        <f t="shared" si="97"/>
        <v>0</v>
      </c>
      <c r="F360" s="59">
        <v>1</v>
      </c>
      <c r="G360" s="66">
        <f t="shared" si="100"/>
        <v>0</v>
      </c>
      <c r="H360" s="60">
        <f t="shared" si="98"/>
        <v>0</v>
      </c>
    </row>
    <row r="361" spans="1:8" ht="12.75">
      <c r="A361" s="85" t="str">
        <f t="shared" si="94"/>
        <v>Sep</v>
      </c>
      <c r="B361" s="66">
        <f t="shared" si="99"/>
        <v>0</v>
      </c>
      <c r="C361" s="58">
        <f t="shared" si="95"/>
        <v>0.3</v>
      </c>
      <c r="D361" s="57">
        <f t="shared" si="96"/>
        <v>0</v>
      </c>
      <c r="E361" s="57">
        <f t="shared" si="97"/>
        <v>0</v>
      </c>
      <c r="F361" s="59">
        <v>1</v>
      </c>
      <c r="G361" s="66">
        <f t="shared" si="100"/>
        <v>0</v>
      </c>
      <c r="H361" s="60">
        <f t="shared" si="98"/>
        <v>0</v>
      </c>
    </row>
    <row r="362" spans="1:8" ht="12.75">
      <c r="A362" s="85" t="str">
        <f t="shared" si="94"/>
        <v>Oct</v>
      </c>
      <c r="B362" s="66">
        <f t="shared" si="99"/>
        <v>0</v>
      </c>
      <c r="C362" s="58">
        <f t="shared" si="95"/>
        <v>0.3</v>
      </c>
      <c r="D362" s="57">
        <f t="shared" si="96"/>
        <v>0</v>
      </c>
      <c r="E362" s="57">
        <f t="shared" si="97"/>
        <v>0</v>
      </c>
      <c r="F362" s="59">
        <v>1</v>
      </c>
      <c r="G362" s="66">
        <f t="shared" si="100"/>
        <v>0</v>
      </c>
      <c r="H362" s="60">
        <f t="shared" si="98"/>
        <v>0</v>
      </c>
    </row>
    <row r="363" spans="1:8" ht="12.75">
      <c r="A363" s="85" t="str">
        <f t="shared" si="94"/>
        <v>Nov</v>
      </c>
      <c r="B363" s="66">
        <f t="shared" si="99"/>
        <v>0</v>
      </c>
      <c r="C363" s="58">
        <f t="shared" si="95"/>
        <v>0.3</v>
      </c>
      <c r="D363" s="57">
        <f t="shared" si="96"/>
        <v>0</v>
      </c>
      <c r="E363" s="57">
        <f t="shared" si="97"/>
        <v>0</v>
      </c>
      <c r="F363" s="59">
        <v>1</v>
      </c>
      <c r="G363" s="66">
        <f t="shared" si="100"/>
        <v>0</v>
      </c>
      <c r="H363" s="60">
        <f t="shared" si="98"/>
        <v>0</v>
      </c>
    </row>
    <row r="364" spans="1:8" ht="13.5" thickBot="1">
      <c r="A364" s="85" t="str">
        <f t="shared" si="94"/>
        <v>Dec</v>
      </c>
      <c r="B364" s="66">
        <f t="shared" si="99"/>
        <v>0</v>
      </c>
      <c r="C364" s="58">
        <f t="shared" si="95"/>
        <v>0.3</v>
      </c>
      <c r="D364" s="57">
        <f t="shared" si="96"/>
        <v>0</v>
      </c>
      <c r="E364" s="57">
        <f t="shared" si="97"/>
        <v>0</v>
      </c>
      <c r="F364" s="59">
        <v>1</v>
      </c>
      <c r="G364" s="66">
        <f t="shared" si="100"/>
        <v>0</v>
      </c>
      <c r="H364" s="60">
        <f t="shared" si="98"/>
        <v>0</v>
      </c>
    </row>
    <row r="365" spans="1:8" ht="13.5" thickBot="1">
      <c r="A365" s="50" t="s">
        <v>11</v>
      </c>
      <c r="B365" s="64">
        <f>SUM(B353:B364)</f>
        <v>95.77855119180126</v>
      </c>
      <c r="C365" s="64"/>
      <c r="D365" s="64">
        <f>SUM(D353:D364)</f>
        <v>654.1675046400026</v>
      </c>
      <c r="E365" s="64">
        <f>SUM(E353:E364)</f>
        <v>196.25025139200076</v>
      </c>
      <c r="F365" s="64"/>
      <c r="G365" s="201">
        <f>SUM(G353:G364)</f>
        <v>196.25025139200076</v>
      </c>
      <c r="H365" s="65">
        <f>SUM(H353:H364)</f>
        <v>0.09812512569600038</v>
      </c>
    </row>
    <row r="366" spans="1:8" ht="12.75">
      <c r="A366" s="18"/>
      <c r="B366" s="7"/>
      <c r="C366" s="7"/>
      <c r="D366" s="7"/>
      <c r="E366" s="7"/>
      <c r="F366" s="7"/>
      <c r="G366" s="13"/>
      <c r="H366" s="7"/>
    </row>
    <row r="367" spans="1:8" ht="13.5" thickBot="1">
      <c r="A367" s="397" t="s">
        <v>182</v>
      </c>
      <c r="B367" s="397"/>
      <c r="C367" s="397"/>
      <c r="D367" s="397"/>
      <c r="E367" s="397"/>
      <c r="F367" s="397"/>
      <c r="G367" s="397"/>
      <c r="H367" s="397"/>
    </row>
    <row r="368" spans="1:8" ht="24.75" thickBot="1">
      <c r="A368" s="46" t="s">
        <v>6</v>
      </c>
      <c r="B368" s="47" t="s">
        <v>7</v>
      </c>
      <c r="C368" s="47" t="s">
        <v>12</v>
      </c>
      <c r="D368" s="47" t="s">
        <v>9</v>
      </c>
      <c r="E368" s="48" t="s">
        <v>13</v>
      </c>
      <c r="F368" s="48" t="s">
        <v>3</v>
      </c>
      <c r="G368" s="200" t="s">
        <v>14</v>
      </c>
      <c r="H368" s="48" t="s">
        <v>15</v>
      </c>
    </row>
    <row r="369" spans="1:8" ht="13.5" thickBot="1">
      <c r="A369" s="392" t="s">
        <v>56</v>
      </c>
      <c r="B369" s="395"/>
      <c r="C369" s="395"/>
      <c r="D369" s="395"/>
      <c r="E369" s="395"/>
      <c r="F369" s="395"/>
      <c r="G369" s="395"/>
      <c r="H369" s="396"/>
    </row>
    <row r="370" spans="1:8" ht="12.75">
      <c r="A370" s="55"/>
      <c r="B370" s="19"/>
      <c r="C370" s="19"/>
      <c r="D370" s="19"/>
      <c r="E370" s="19"/>
      <c r="F370" s="19"/>
      <c r="G370" s="66"/>
      <c r="H370" s="56"/>
    </row>
    <row r="371" spans="1:8" ht="12.75">
      <c r="A371" s="85" t="str">
        <f>A353</f>
        <v>Jan</v>
      </c>
      <c r="B371" s="66">
        <f>B188</f>
        <v>0</v>
      </c>
      <c r="C371" s="58">
        <f>C353</f>
        <v>0.3</v>
      </c>
      <c r="D371" s="57">
        <f aca="true" t="shared" si="101" ref="D371:D382">B371*6.83</f>
        <v>0</v>
      </c>
      <c r="E371" s="57">
        <f aca="true" t="shared" si="102" ref="E371:E382">D371*C371</f>
        <v>0</v>
      </c>
      <c r="F371" s="59">
        <f>F353</f>
        <v>1</v>
      </c>
      <c r="G371" s="66">
        <f>E371*F371</f>
        <v>0</v>
      </c>
      <c r="H371" s="60">
        <f aca="true" t="shared" si="103" ref="H371:H382">G371/2000</f>
        <v>0</v>
      </c>
    </row>
    <row r="372" spans="1:8" ht="12.75">
      <c r="A372" s="85" t="str">
        <f aca="true" t="shared" si="104" ref="A372:A382">A354</f>
        <v>Feb</v>
      </c>
      <c r="B372" s="66">
        <f aca="true" t="shared" si="105" ref="B372:B382">B189</f>
        <v>20.749885761427706</v>
      </c>
      <c r="C372" s="58">
        <f aca="true" t="shared" si="106" ref="C372:C382">C354</f>
        <v>0.3</v>
      </c>
      <c r="D372" s="57">
        <f t="shared" si="101"/>
        <v>141.72171975055124</v>
      </c>
      <c r="E372" s="57">
        <f t="shared" si="102"/>
        <v>42.51651592516537</v>
      </c>
      <c r="F372" s="59">
        <f aca="true" t="shared" si="107" ref="F372:F382">F354</f>
        <v>1</v>
      </c>
      <c r="G372" s="66">
        <f aca="true" t="shared" si="108" ref="G372:G382">E372*F372</f>
        <v>42.51651592516537</v>
      </c>
      <c r="H372" s="60">
        <f t="shared" si="103"/>
        <v>0.021258257962582686</v>
      </c>
    </row>
    <row r="373" spans="1:8" ht="12.75">
      <c r="A373" s="85" t="str">
        <f t="shared" si="104"/>
        <v>Mar</v>
      </c>
      <c r="B373" s="66">
        <f t="shared" si="105"/>
        <v>0</v>
      </c>
      <c r="C373" s="58">
        <f t="shared" si="106"/>
        <v>0.3</v>
      </c>
      <c r="D373" s="57">
        <f t="shared" si="101"/>
        <v>0</v>
      </c>
      <c r="E373" s="57">
        <f t="shared" si="102"/>
        <v>0</v>
      </c>
      <c r="F373" s="59">
        <f t="shared" si="107"/>
        <v>1</v>
      </c>
      <c r="G373" s="66">
        <f t="shared" si="108"/>
        <v>0</v>
      </c>
      <c r="H373" s="60">
        <f t="shared" si="103"/>
        <v>0</v>
      </c>
    </row>
    <row r="374" spans="1:8" ht="12.75">
      <c r="A374" s="85" t="str">
        <f t="shared" si="104"/>
        <v>Apr</v>
      </c>
      <c r="B374" s="66">
        <f t="shared" si="105"/>
        <v>10.374942880713853</v>
      </c>
      <c r="C374" s="58">
        <f t="shared" si="106"/>
        <v>0.3</v>
      </c>
      <c r="D374" s="57">
        <f t="shared" si="101"/>
        <v>70.86085987527562</v>
      </c>
      <c r="E374" s="57">
        <f t="shared" si="102"/>
        <v>21.258257962582686</v>
      </c>
      <c r="F374" s="59">
        <f t="shared" si="107"/>
        <v>1</v>
      </c>
      <c r="G374" s="66">
        <f t="shared" si="108"/>
        <v>21.258257962582686</v>
      </c>
      <c r="H374" s="60">
        <f t="shared" si="103"/>
        <v>0.010629128981291343</v>
      </c>
    </row>
    <row r="375" spans="1:8" ht="12.75">
      <c r="A375" s="85" t="str">
        <f t="shared" si="104"/>
        <v>May</v>
      </c>
      <c r="B375" s="66">
        <f t="shared" si="105"/>
        <v>0</v>
      </c>
      <c r="C375" s="58">
        <f t="shared" si="106"/>
        <v>0.3</v>
      </c>
      <c r="D375" s="57">
        <f t="shared" si="101"/>
        <v>0</v>
      </c>
      <c r="E375" s="57">
        <f t="shared" si="102"/>
        <v>0</v>
      </c>
      <c r="F375" s="59">
        <f t="shared" si="107"/>
        <v>1</v>
      </c>
      <c r="G375" s="66">
        <f t="shared" si="108"/>
        <v>0</v>
      </c>
      <c r="H375" s="60">
        <f t="shared" si="103"/>
        <v>0</v>
      </c>
    </row>
    <row r="376" spans="1:8" ht="12.75">
      <c r="A376" s="85" t="str">
        <f t="shared" si="104"/>
        <v>Jun</v>
      </c>
      <c r="B376" s="66">
        <f t="shared" si="105"/>
        <v>0</v>
      </c>
      <c r="C376" s="58">
        <f t="shared" si="106"/>
        <v>0.3</v>
      </c>
      <c r="D376" s="57">
        <f t="shared" si="101"/>
        <v>0</v>
      </c>
      <c r="E376" s="57">
        <f t="shared" si="102"/>
        <v>0</v>
      </c>
      <c r="F376" s="59">
        <f t="shared" si="107"/>
        <v>1</v>
      </c>
      <c r="G376" s="66">
        <f t="shared" si="108"/>
        <v>0</v>
      </c>
      <c r="H376" s="60">
        <f t="shared" si="103"/>
        <v>0</v>
      </c>
    </row>
    <row r="377" spans="1:8" ht="12.75">
      <c r="A377" s="85" t="str">
        <f t="shared" si="104"/>
        <v>Jul</v>
      </c>
      <c r="B377" s="66">
        <f t="shared" si="105"/>
        <v>10.374942880713853</v>
      </c>
      <c r="C377" s="58">
        <f t="shared" si="106"/>
        <v>0.3</v>
      </c>
      <c r="D377" s="57">
        <f t="shared" si="101"/>
        <v>70.86085987527562</v>
      </c>
      <c r="E377" s="57">
        <f t="shared" si="102"/>
        <v>21.258257962582686</v>
      </c>
      <c r="F377" s="59">
        <f t="shared" si="107"/>
        <v>1</v>
      </c>
      <c r="G377" s="66">
        <f t="shared" si="108"/>
        <v>21.258257962582686</v>
      </c>
      <c r="H377" s="60">
        <f t="shared" si="103"/>
        <v>0.010629128981291343</v>
      </c>
    </row>
    <row r="378" spans="1:8" ht="12.75">
      <c r="A378" s="85" t="str">
        <f t="shared" si="104"/>
        <v>Aug</v>
      </c>
      <c r="B378" s="66">
        <f t="shared" si="105"/>
        <v>0</v>
      </c>
      <c r="C378" s="58">
        <f t="shared" si="106"/>
        <v>0.3</v>
      </c>
      <c r="D378" s="57">
        <f t="shared" si="101"/>
        <v>0</v>
      </c>
      <c r="E378" s="57">
        <f t="shared" si="102"/>
        <v>0</v>
      </c>
      <c r="F378" s="59">
        <f t="shared" si="107"/>
        <v>1</v>
      </c>
      <c r="G378" s="66">
        <f t="shared" si="108"/>
        <v>0</v>
      </c>
      <c r="H378" s="60">
        <f t="shared" si="103"/>
        <v>0</v>
      </c>
    </row>
    <row r="379" spans="1:8" ht="12.75">
      <c r="A379" s="85" t="str">
        <f t="shared" si="104"/>
        <v>Sep</v>
      </c>
      <c r="B379" s="66">
        <f t="shared" si="105"/>
        <v>0</v>
      </c>
      <c r="C379" s="58">
        <f t="shared" si="106"/>
        <v>0.3</v>
      </c>
      <c r="D379" s="57">
        <f t="shared" si="101"/>
        <v>0</v>
      </c>
      <c r="E379" s="57">
        <f t="shared" si="102"/>
        <v>0</v>
      </c>
      <c r="F379" s="59">
        <f t="shared" si="107"/>
        <v>1</v>
      </c>
      <c r="G379" s="66">
        <f t="shared" si="108"/>
        <v>0</v>
      </c>
      <c r="H379" s="60">
        <f t="shared" si="103"/>
        <v>0</v>
      </c>
    </row>
    <row r="380" spans="1:8" ht="12.75">
      <c r="A380" s="85" t="str">
        <f t="shared" si="104"/>
        <v>Oct</v>
      </c>
      <c r="B380" s="66">
        <f t="shared" si="105"/>
        <v>0</v>
      </c>
      <c r="C380" s="58">
        <f t="shared" si="106"/>
        <v>0.3</v>
      </c>
      <c r="D380" s="57">
        <f t="shared" si="101"/>
        <v>0</v>
      </c>
      <c r="E380" s="57">
        <f t="shared" si="102"/>
        <v>0</v>
      </c>
      <c r="F380" s="59">
        <f t="shared" si="107"/>
        <v>1</v>
      </c>
      <c r="G380" s="66">
        <f t="shared" si="108"/>
        <v>0</v>
      </c>
      <c r="H380" s="60">
        <f t="shared" si="103"/>
        <v>0</v>
      </c>
    </row>
    <row r="381" spans="1:8" ht="12.75">
      <c r="A381" s="85" t="str">
        <f t="shared" si="104"/>
        <v>Nov</v>
      </c>
      <c r="B381" s="66">
        <f t="shared" si="105"/>
        <v>0</v>
      </c>
      <c r="C381" s="58">
        <f t="shared" si="106"/>
        <v>0.3</v>
      </c>
      <c r="D381" s="57">
        <f t="shared" si="101"/>
        <v>0</v>
      </c>
      <c r="E381" s="57">
        <f t="shared" si="102"/>
        <v>0</v>
      </c>
      <c r="F381" s="59">
        <f t="shared" si="107"/>
        <v>1</v>
      </c>
      <c r="G381" s="66">
        <f t="shared" si="108"/>
        <v>0</v>
      </c>
      <c r="H381" s="60">
        <f t="shared" si="103"/>
        <v>0</v>
      </c>
    </row>
    <row r="382" spans="1:8" ht="13.5" thickBot="1">
      <c r="A382" s="85" t="str">
        <f t="shared" si="104"/>
        <v>Dec</v>
      </c>
      <c r="B382" s="66">
        <f t="shared" si="105"/>
        <v>0</v>
      </c>
      <c r="C382" s="58">
        <f t="shared" si="106"/>
        <v>0.3</v>
      </c>
      <c r="D382" s="57">
        <f t="shared" si="101"/>
        <v>0</v>
      </c>
      <c r="E382" s="57">
        <f t="shared" si="102"/>
        <v>0</v>
      </c>
      <c r="F382" s="59">
        <f t="shared" si="107"/>
        <v>1</v>
      </c>
      <c r="G382" s="66">
        <f t="shared" si="108"/>
        <v>0</v>
      </c>
      <c r="H382" s="60">
        <f t="shared" si="103"/>
        <v>0</v>
      </c>
    </row>
    <row r="383" spans="1:8" ht="13.5" thickBot="1">
      <c r="A383" s="50" t="s">
        <v>11</v>
      </c>
      <c r="B383" s="64">
        <f>SUM(B371:B382)</f>
        <v>41.49977152285541</v>
      </c>
      <c r="C383" s="64"/>
      <c r="D383" s="64">
        <f>SUM(D371:D382)</f>
        <v>283.4434395011025</v>
      </c>
      <c r="E383" s="64">
        <f>SUM(E371:E382)</f>
        <v>85.03303185033074</v>
      </c>
      <c r="F383" s="64"/>
      <c r="G383" s="201">
        <f>SUM(G371:G382)</f>
        <v>85.03303185033074</v>
      </c>
      <c r="H383" s="65">
        <f>SUM(H371:H382)</f>
        <v>0.04251651592516537</v>
      </c>
    </row>
    <row r="384" spans="1:8" ht="12.75">
      <c r="A384" s="29"/>
      <c r="B384" s="30"/>
      <c r="C384" s="30"/>
      <c r="D384" s="30"/>
      <c r="E384" s="30"/>
      <c r="F384" s="30"/>
      <c r="G384" s="51"/>
      <c r="H384" s="53"/>
    </row>
    <row r="385" spans="1:8" ht="13.5" thickBot="1">
      <c r="A385" s="397" t="s">
        <v>223</v>
      </c>
      <c r="B385" s="397"/>
      <c r="C385" s="397"/>
      <c r="D385" s="397"/>
      <c r="E385" s="397"/>
      <c r="F385" s="397"/>
      <c r="G385" s="397"/>
      <c r="H385" s="397"/>
    </row>
    <row r="386" spans="1:8" ht="24.75" thickBot="1">
      <c r="A386" s="46" t="s">
        <v>6</v>
      </c>
      <c r="B386" s="47" t="s">
        <v>7</v>
      </c>
      <c r="C386" s="47" t="s">
        <v>12</v>
      </c>
      <c r="D386" s="47" t="s">
        <v>9</v>
      </c>
      <c r="E386" s="48" t="s">
        <v>13</v>
      </c>
      <c r="F386" s="48" t="s">
        <v>3</v>
      </c>
      <c r="G386" s="200" t="s">
        <v>14</v>
      </c>
      <c r="H386" s="48" t="s">
        <v>15</v>
      </c>
    </row>
    <row r="387" spans="1:8" ht="13.5" thickBot="1">
      <c r="A387" s="392" t="s">
        <v>56</v>
      </c>
      <c r="B387" s="395"/>
      <c r="C387" s="395"/>
      <c r="D387" s="395"/>
      <c r="E387" s="395"/>
      <c r="F387" s="395"/>
      <c r="G387" s="395"/>
      <c r="H387" s="396"/>
    </row>
    <row r="388" spans="1:8" ht="12.75">
      <c r="A388" s="55"/>
      <c r="B388" s="19"/>
      <c r="C388" s="19"/>
      <c r="D388" s="19"/>
      <c r="E388" s="19"/>
      <c r="F388" s="19"/>
      <c r="G388" s="66"/>
      <c r="H388" s="56"/>
    </row>
    <row r="389" spans="1:8" ht="12.75">
      <c r="A389" s="85" t="str">
        <f aca="true" t="shared" si="109" ref="A389:A400">A296</f>
        <v>Jan</v>
      </c>
      <c r="B389" s="66">
        <f aca="true" t="shared" si="110" ref="B389:B400">B205</f>
        <v>0</v>
      </c>
      <c r="C389" s="58">
        <v>0.3</v>
      </c>
      <c r="D389" s="57">
        <f aca="true" t="shared" si="111" ref="D389:D400">B389*6.83</f>
        <v>0</v>
      </c>
      <c r="E389" s="57">
        <f aca="true" t="shared" si="112" ref="E389:E400">D389*C389</f>
        <v>0</v>
      </c>
      <c r="F389" s="59">
        <v>1</v>
      </c>
      <c r="G389" s="66">
        <f>E389*F389</f>
        <v>0</v>
      </c>
      <c r="H389" s="60">
        <f aca="true" t="shared" si="113" ref="H389:H400">G389/2000</f>
        <v>0</v>
      </c>
    </row>
    <row r="390" spans="1:8" ht="12.75">
      <c r="A390" s="85" t="str">
        <f t="shared" si="109"/>
        <v>Feb</v>
      </c>
      <c r="B390" s="66">
        <f t="shared" si="110"/>
        <v>41.360838642671666</v>
      </c>
      <c r="C390" s="58">
        <v>0.3</v>
      </c>
      <c r="D390" s="57">
        <f t="shared" si="111"/>
        <v>282.4945279294475</v>
      </c>
      <c r="E390" s="57">
        <f t="shared" si="112"/>
        <v>84.74835837883424</v>
      </c>
      <c r="F390" s="59">
        <v>1</v>
      </c>
      <c r="G390" s="66">
        <f aca="true" t="shared" si="114" ref="G390:G400">E390*F390</f>
        <v>84.74835837883424</v>
      </c>
      <c r="H390" s="60">
        <f t="shared" si="113"/>
        <v>0.04237417918941712</v>
      </c>
    </row>
    <row r="391" spans="1:8" ht="12.75">
      <c r="A391" s="85" t="str">
        <f t="shared" si="109"/>
        <v>Mar</v>
      </c>
      <c r="B391" s="66">
        <f t="shared" si="110"/>
        <v>0</v>
      </c>
      <c r="C391" s="58">
        <v>0.3</v>
      </c>
      <c r="D391" s="57">
        <f t="shared" si="111"/>
        <v>0</v>
      </c>
      <c r="E391" s="57">
        <f t="shared" si="112"/>
        <v>0</v>
      </c>
      <c r="F391" s="59">
        <v>1</v>
      </c>
      <c r="G391" s="66">
        <f t="shared" si="114"/>
        <v>0</v>
      </c>
      <c r="H391" s="60">
        <f t="shared" si="113"/>
        <v>0</v>
      </c>
    </row>
    <row r="392" spans="1:8" ht="12.75">
      <c r="A392" s="85" t="str">
        <f t="shared" si="109"/>
        <v>Apr</v>
      </c>
      <c r="B392" s="66">
        <f t="shared" si="110"/>
        <v>20.680419321335833</v>
      </c>
      <c r="C392" s="58">
        <v>0.3</v>
      </c>
      <c r="D392" s="57">
        <f t="shared" si="111"/>
        <v>141.24726396472374</v>
      </c>
      <c r="E392" s="57">
        <f t="shared" si="112"/>
        <v>42.37417918941712</v>
      </c>
      <c r="F392" s="59">
        <v>1</v>
      </c>
      <c r="G392" s="66">
        <f t="shared" si="114"/>
        <v>42.37417918941712</v>
      </c>
      <c r="H392" s="60">
        <f t="shared" si="113"/>
        <v>0.02118708959470856</v>
      </c>
    </row>
    <row r="393" spans="1:8" ht="12.75">
      <c r="A393" s="85" t="str">
        <f t="shared" si="109"/>
        <v>May</v>
      </c>
      <c r="B393" s="66">
        <f t="shared" si="110"/>
        <v>0</v>
      </c>
      <c r="C393" s="58">
        <v>0.3</v>
      </c>
      <c r="D393" s="57">
        <f t="shared" si="111"/>
        <v>0</v>
      </c>
      <c r="E393" s="57">
        <f t="shared" si="112"/>
        <v>0</v>
      </c>
      <c r="F393" s="59">
        <v>1</v>
      </c>
      <c r="G393" s="66">
        <f t="shared" si="114"/>
        <v>0</v>
      </c>
      <c r="H393" s="60">
        <f t="shared" si="113"/>
        <v>0</v>
      </c>
    </row>
    <row r="394" spans="1:8" ht="12.75">
      <c r="A394" s="85" t="str">
        <f t="shared" si="109"/>
        <v>Jun</v>
      </c>
      <c r="B394" s="66">
        <f t="shared" si="110"/>
        <v>0</v>
      </c>
      <c r="C394" s="58">
        <v>0.3</v>
      </c>
      <c r="D394" s="57">
        <f t="shared" si="111"/>
        <v>0</v>
      </c>
      <c r="E394" s="57">
        <f t="shared" si="112"/>
        <v>0</v>
      </c>
      <c r="F394" s="59">
        <v>1</v>
      </c>
      <c r="G394" s="66">
        <f t="shared" si="114"/>
        <v>0</v>
      </c>
      <c r="H394" s="60">
        <f t="shared" si="113"/>
        <v>0</v>
      </c>
    </row>
    <row r="395" spans="1:8" ht="12.75">
      <c r="A395" s="85" t="str">
        <f t="shared" si="109"/>
        <v>Jul</v>
      </c>
      <c r="B395" s="66">
        <f t="shared" si="110"/>
        <v>20.680419321335833</v>
      </c>
      <c r="C395" s="58">
        <v>0.3</v>
      </c>
      <c r="D395" s="57">
        <f t="shared" si="111"/>
        <v>141.24726396472374</v>
      </c>
      <c r="E395" s="57">
        <f t="shared" si="112"/>
        <v>42.37417918941712</v>
      </c>
      <c r="F395" s="59">
        <v>1</v>
      </c>
      <c r="G395" s="66">
        <f t="shared" si="114"/>
        <v>42.37417918941712</v>
      </c>
      <c r="H395" s="60">
        <f t="shared" si="113"/>
        <v>0.02118708959470856</v>
      </c>
    </row>
    <row r="396" spans="1:8" ht="12.75">
      <c r="A396" s="85" t="str">
        <f t="shared" si="109"/>
        <v>Aug</v>
      </c>
      <c r="B396" s="66">
        <f t="shared" si="110"/>
        <v>0</v>
      </c>
      <c r="C396" s="58">
        <v>0.3</v>
      </c>
      <c r="D396" s="57">
        <f t="shared" si="111"/>
        <v>0</v>
      </c>
      <c r="E396" s="57">
        <f t="shared" si="112"/>
        <v>0</v>
      </c>
      <c r="F396" s="59">
        <v>1</v>
      </c>
      <c r="G396" s="66">
        <f t="shared" si="114"/>
        <v>0</v>
      </c>
      <c r="H396" s="60">
        <f t="shared" si="113"/>
        <v>0</v>
      </c>
    </row>
    <row r="397" spans="1:8" ht="12.75">
      <c r="A397" s="85" t="str">
        <f t="shared" si="109"/>
        <v>Sep</v>
      </c>
      <c r="B397" s="66">
        <f t="shared" si="110"/>
        <v>0</v>
      </c>
      <c r="C397" s="58">
        <v>0.3</v>
      </c>
      <c r="D397" s="57">
        <f t="shared" si="111"/>
        <v>0</v>
      </c>
      <c r="E397" s="57">
        <f t="shared" si="112"/>
        <v>0</v>
      </c>
      <c r="F397" s="59">
        <v>1</v>
      </c>
      <c r="G397" s="66">
        <f t="shared" si="114"/>
        <v>0</v>
      </c>
      <c r="H397" s="60">
        <f t="shared" si="113"/>
        <v>0</v>
      </c>
    </row>
    <row r="398" spans="1:8" ht="12.75">
      <c r="A398" s="85" t="str">
        <f t="shared" si="109"/>
        <v>Oct</v>
      </c>
      <c r="B398" s="66">
        <f t="shared" si="110"/>
        <v>0</v>
      </c>
      <c r="C398" s="58">
        <v>0.3</v>
      </c>
      <c r="D398" s="57">
        <f t="shared" si="111"/>
        <v>0</v>
      </c>
      <c r="E398" s="57">
        <f t="shared" si="112"/>
        <v>0</v>
      </c>
      <c r="F398" s="59">
        <v>1</v>
      </c>
      <c r="G398" s="66">
        <f t="shared" si="114"/>
        <v>0</v>
      </c>
      <c r="H398" s="60">
        <f t="shared" si="113"/>
        <v>0</v>
      </c>
    </row>
    <row r="399" spans="1:8" ht="12.75">
      <c r="A399" s="85" t="str">
        <f t="shared" si="109"/>
        <v>Nov</v>
      </c>
      <c r="B399" s="66">
        <f t="shared" si="110"/>
        <v>0</v>
      </c>
      <c r="C399" s="58">
        <v>0.3</v>
      </c>
      <c r="D399" s="57">
        <f t="shared" si="111"/>
        <v>0</v>
      </c>
      <c r="E399" s="57">
        <f t="shared" si="112"/>
        <v>0</v>
      </c>
      <c r="F399" s="59">
        <v>1</v>
      </c>
      <c r="G399" s="66">
        <f t="shared" si="114"/>
        <v>0</v>
      </c>
      <c r="H399" s="60">
        <f t="shared" si="113"/>
        <v>0</v>
      </c>
    </row>
    <row r="400" spans="1:8" ht="13.5" thickBot="1">
      <c r="A400" s="85" t="str">
        <f t="shared" si="109"/>
        <v>Dec</v>
      </c>
      <c r="B400" s="66">
        <f t="shared" si="110"/>
        <v>0</v>
      </c>
      <c r="C400" s="58">
        <v>0.3</v>
      </c>
      <c r="D400" s="57">
        <f t="shared" si="111"/>
        <v>0</v>
      </c>
      <c r="E400" s="57">
        <f t="shared" si="112"/>
        <v>0</v>
      </c>
      <c r="F400" s="59">
        <v>1</v>
      </c>
      <c r="G400" s="66">
        <f t="shared" si="114"/>
        <v>0</v>
      </c>
      <c r="H400" s="60">
        <f t="shared" si="113"/>
        <v>0</v>
      </c>
    </row>
    <row r="401" spans="1:8" ht="13.5" thickBot="1">
      <c r="A401" s="50" t="s">
        <v>11</v>
      </c>
      <c r="B401" s="64">
        <f>SUM(B389:B400)</f>
        <v>82.72167728534333</v>
      </c>
      <c r="C401" s="64"/>
      <c r="D401" s="64">
        <f>SUM(D389:D400)</f>
        <v>564.989055858895</v>
      </c>
      <c r="E401" s="64">
        <f>SUM(E389:E400)</f>
        <v>169.49671675766848</v>
      </c>
      <c r="F401" s="64"/>
      <c r="G401" s="201">
        <f>SUM(G389:G400)</f>
        <v>169.49671675766848</v>
      </c>
      <c r="H401" s="65">
        <f>SUM(H389:H400)</f>
        <v>0.08474835837883424</v>
      </c>
    </row>
    <row r="402" spans="1:8" ht="12.75">
      <c r="A402" s="29"/>
      <c r="B402" s="30"/>
      <c r="C402" s="30"/>
      <c r="D402" s="30"/>
      <c r="E402" s="30"/>
      <c r="F402" s="30"/>
      <c r="G402" s="51"/>
      <c r="H402" s="53"/>
    </row>
    <row r="403" spans="1:8" ht="13.5" thickBot="1">
      <c r="A403" s="397" t="s">
        <v>181</v>
      </c>
      <c r="B403" s="397"/>
      <c r="C403" s="397"/>
      <c r="D403" s="397"/>
      <c r="E403" s="397"/>
      <c r="F403" s="397"/>
      <c r="G403" s="397"/>
      <c r="H403" s="397"/>
    </row>
    <row r="404" spans="1:8" ht="24.75" thickBot="1">
      <c r="A404" s="46" t="s">
        <v>6</v>
      </c>
      <c r="B404" s="47" t="s">
        <v>7</v>
      </c>
      <c r="C404" s="47" t="s">
        <v>12</v>
      </c>
      <c r="D404" s="47" t="s">
        <v>9</v>
      </c>
      <c r="E404" s="48" t="s">
        <v>13</v>
      </c>
      <c r="F404" s="48" t="s">
        <v>3</v>
      </c>
      <c r="G404" s="200" t="s">
        <v>14</v>
      </c>
      <c r="H404" s="48" t="s">
        <v>15</v>
      </c>
    </row>
    <row r="405" spans="1:8" ht="13.5" thickBot="1">
      <c r="A405" s="392" t="s">
        <v>119</v>
      </c>
      <c r="B405" s="395"/>
      <c r="C405" s="395"/>
      <c r="D405" s="395"/>
      <c r="E405" s="395"/>
      <c r="F405" s="395"/>
      <c r="G405" s="395"/>
      <c r="H405" s="396"/>
    </row>
    <row r="406" spans="1:8" ht="12.75">
      <c r="A406" s="55"/>
      <c r="B406" s="19"/>
      <c r="C406" s="19"/>
      <c r="D406" s="19"/>
      <c r="E406" s="19"/>
      <c r="F406" s="19"/>
      <c r="G406" s="66"/>
      <c r="H406" s="56"/>
    </row>
    <row r="407" spans="1:8" ht="12.75">
      <c r="A407" s="85" t="str">
        <f aca="true" t="shared" si="115" ref="A407:A418">A443</f>
        <v>Jan</v>
      </c>
      <c r="B407" s="66">
        <f>B118</f>
        <v>119.72318898975158</v>
      </c>
      <c r="C407" s="58">
        <f aca="true" t="shared" si="116" ref="C407:C418">C443</f>
        <v>0.025</v>
      </c>
      <c r="D407" s="57">
        <f>B407*6.83</f>
        <v>817.7093808000033</v>
      </c>
      <c r="E407" s="57">
        <f>D407*C407</f>
        <v>20.442734520000084</v>
      </c>
      <c r="F407" s="59">
        <v>0.5</v>
      </c>
      <c r="G407" s="66">
        <f>E407*F407</f>
        <v>10.221367260000042</v>
      </c>
      <c r="H407" s="60">
        <f aca="true" t="shared" si="117" ref="H407:H418">G407/2000</f>
        <v>0.005110683630000021</v>
      </c>
    </row>
    <row r="408" spans="1:8" ht="12.75">
      <c r="A408" s="85" t="str">
        <f t="shared" si="115"/>
        <v>Feb</v>
      </c>
      <c r="B408" s="66">
        <f aca="true" t="shared" si="118" ref="B408:B418">B119</f>
        <v>95.77855119180126</v>
      </c>
      <c r="C408" s="58">
        <f t="shared" si="116"/>
        <v>0.025</v>
      </c>
      <c r="D408" s="57">
        <f aca="true" t="shared" si="119" ref="D408:D418">B408*6.83</f>
        <v>654.1675046400026</v>
      </c>
      <c r="E408" s="57">
        <f aca="true" t="shared" si="120" ref="E408:E418">D408*C408</f>
        <v>16.354187616000065</v>
      </c>
      <c r="F408" s="59">
        <v>0.5</v>
      </c>
      <c r="G408" s="66">
        <f aca="true" t="shared" si="121" ref="G408:G418">E408*F408</f>
        <v>8.177093808000032</v>
      </c>
      <c r="H408" s="60">
        <f t="shared" si="117"/>
        <v>0.0040885469040000165</v>
      </c>
    </row>
    <row r="409" spans="1:8" ht="12.75">
      <c r="A409" s="85" t="str">
        <f t="shared" si="115"/>
        <v>Mar</v>
      </c>
      <c r="B409" s="66">
        <f t="shared" si="118"/>
        <v>95.77855119180126</v>
      </c>
      <c r="C409" s="58">
        <f t="shared" si="116"/>
        <v>0.025</v>
      </c>
      <c r="D409" s="57">
        <f t="shared" si="119"/>
        <v>654.1675046400026</v>
      </c>
      <c r="E409" s="57">
        <f t="shared" si="120"/>
        <v>16.354187616000065</v>
      </c>
      <c r="F409" s="59">
        <v>0.5</v>
      </c>
      <c r="G409" s="66">
        <f t="shared" si="121"/>
        <v>8.177093808000032</v>
      </c>
      <c r="H409" s="60">
        <f t="shared" si="117"/>
        <v>0.0040885469040000165</v>
      </c>
    </row>
    <row r="410" spans="1:8" ht="12.75">
      <c r="A410" s="85" t="str">
        <f t="shared" si="115"/>
        <v>Apr</v>
      </c>
      <c r="B410" s="66">
        <f t="shared" si="118"/>
        <v>119.72318898975158</v>
      </c>
      <c r="C410" s="58">
        <f t="shared" si="116"/>
        <v>0.025</v>
      </c>
      <c r="D410" s="57">
        <f t="shared" si="119"/>
        <v>817.7093808000033</v>
      </c>
      <c r="E410" s="57">
        <f t="shared" si="120"/>
        <v>20.442734520000084</v>
      </c>
      <c r="F410" s="59">
        <v>0.5</v>
      </c>
      <c r="G410" s="66">
        <f t="shared" si="121"/>
        <v>10.221367260000042</v>
      </c>
      <c r="H410" s="60">
        <f t="shared" si="117"/>
        <v>0.005110683630000021</v>
      </c>
    </row>
    <row r="411" spans="1:8" ht="12.75">
      <c r="A411" s="85" t="str">
        <f t="shared" si="115"/>
        <v>May</v>
      </c>
      <c r="B411" s="66">
        <f t="shared" si="118"/>
        <v>119.72318898975158</v>
      </c>
      <c r="C411" s="58">
        <f t="shared" si="116"/>
        <v>0.025</v>
      </c>
      <c r="D411" s="57">
        <f t="shared" si="119"/>
        <v>817.7093808000033</v>
      </c>
      <c r="E411" s="57">
        <f t="shared" si="120"/>
        <v>20.442734520000084</v>
      </c>
      <c r="F411" s="59">
        <v>0.5</v>
      </c>
      <c r="G411" s="66">
        <f t="shared" si="121"/>
        <v>10.221367260000042</v>
      </c>
      <c r="H411" s="60">
        <f t="shared" si="117"/>
        <v>0.005110683630000021</v>
      </c>
    </row>
    <row r="412" spans="1:8" ht="12.75">
      <c r="A412" s="85" t="str">
        <f t="shared" si="115"/>
        <v>Jun</v>
      </c>
      <c r="B412" s="66">
        <f t="shared" si="118"/>
        <v>119.72318898975158</v>
      </c>
      <c r="C412" s="58">
        <f t="shared" si="116"/>
        <v>0.025</v>
      </c>
      <c r="D412" s="57">
        <f t="shared" si="119"/>
        <v>817.7093808000033</v>
      </c>
      <c r="E412" s="57">
        <f t="shared" si="120"/>
        <v>20.442734520000084</v>
      </c>
      <c r="F412" s="59">
        <v>0.5</v>
      </c>
      <c r="G412" s="66">
        <f t="shared" si="121"/>
        <v>10.221367260000042</v>
      </c>
      <c r="H412" s="60">
        <f t="shared" si="117"/>
        <v>0.005110683630000021</v>
      </c>
    </row>
    <row r="413" spans="1:8" ht="12.75">
      <c r="A413" s="85" t="str">
        <f t="shared" si="115"/>
        <v>Jul</v>
      </c>
      <c r="B413" s="66">
        <f t="shared" si="118"/>
        <v>71.83391339385095</v>
      </c>
      <c r="C413" s="58">
        <f t="shared" si="116"/>
        <v>0.025</v>
      </c>
      <c r="D413" s="57">
        <f t="shared" si="119"/>
        <v>490.625628480002</v>
      </c>
      <c r="E413" s="57">
        <f t="shared" si="120"/>
        <v>12.26564071200005</v>
      </c>
      <c r="F413" s="59">
        <v>0.5</v>
      </c>
      <c r="G413" s="66">
        <f t="shared" si="121"/>
        <v>6.132820356000025</v>
      </c>
      <c r="H413" s="60">
        <f t="shared" si="117"/>
        <v>0.003066410178000012</v>
      </c>
    </row>
    <row r="414" spans="1:8" ht="12.75">
      <c r="A414" s="85" t="str">
        <f t="shared" si="115"/>
        <v>Aug</v>
      </c>
      <c r="B414" s="66">
        <f t="shared" si="118"/>
        <v>0</v>
      </c>
      <c r="C414" s="58">
        <f t="shared" si="116"/>
        <v>0.025</v>
      </c>
      <c r="D414" s="57">
        <f t="shared" si="119"/>
        <v>0</v>
      </c>
      <c r="E414" s="57">
        <f t="shared" si="120"/>
        <v>0</v>
      </c>
      <c r="F414" s="59">
        <v>0.5</v>
      </c>
      <c r="G414" s="66">
        <f t="shared" si="121"/>
        <v>0</v>
      </c>
      <c r="H414" s="60">
        <f t="shared" si="117"/>
        <v>0</v>
      </c>
    </row>
    <row r="415" spans="1:8" ht="12.75">
      <c r="A415" s="85" t="str">
        <f t="shared" si="115"/>
        <v>Sep</v>
      </c>
      <c r="B415" s="66">
        <f t="shared" si="118"/>
        <v>0</v>
      </c>
      <c r="C415" s="58">
        <f t="shared" si="116"/>
        <v>0.025</v>
      </c>
      <c r="D415" s="57">
        <f t="shared" si="119"/>
        <v>0</v>
      </c>
      <c r="E415" s="57">
        <f t="shared" si="120"/>
        <v>0</v>
      </c>
      <c r="F415" s="59">
        <v>0.5</v>
      </c>
      <c r="G415" s="66">
        <f t="shared" si="121"/>
        <v>0</v>
      </c>
      <c r="H415" s="60">
        <f t="shared" si="117"/>
        <v>0</v>
      </c>
    </row>
    <row r="416" spans="1:8" ht="12.75">
      <c r="A416" s="85" t="str">
        <f t="shared" si="115"/>
        <v>Oct</v>
      </c>
      <c r="B416" s="66">
        <f t="shared" si="118"/>
        <v>0</v>
      </c>
      <c r="C416" s="58">
        <f t="shared" si="116"/>
        <v>0.025</v>
      </c>
      <c r="D416" s="57">
        <f t="shared" si="119"/>
        <v>0</v>
      </c>
      <c r="E416" s="57">
        <f t="shared" si="120"/>
        <v>0</v>
      </c>
      <c r="F416" s="59">
        <v>0.5</v>
      </c>
      <c r="G416" s="66">
        <f>E416*F416</f>
        <v>0</v>
      </c>
      <c r="H416" s="60">
        <f t="shared" si="117"/>
        <v>0</v>
      </c>
    </row>
    <row r="417" spans="1:8" ht="12.75">
      <c r="A417" s="85" t="str">
        <f t="shared" si="115"/>
        <v>Nov</v>
      </c>
      <c r="B417" s="66">
        <f t="shared" si="118"/>
        <v>0</v>
      </c>
      <c r="C417" s="58">
        <f t="shared" si="116"/>
        <v>0.025</v>
      </c>
      <c r="D417" s="57">
        <f t="shared" si="119"/>
        <v>0</v>
      </c>
      <c r="E417" s="57">
        <f t="shared" si="120"/>
        <v>0</v>
      </c>
      <c r="F417" s="59">
        <v>0.5</v>
      </c>
      <c r="G417" s="66">
        <f t="shared" si="121"/>
        <v>0</v>
      </c>
      <c r="H417" s="60">
        <f t="shared" si="117"/>
        <v>0</v>
      </c>
    </row>
    <row r="418" spans="1:8" ht="13.5" thickBot="1">
      <c r="A418" s="85" t="str">
        <f t="shared" si="115"/>
        <v>Dec</v>
      </c>
      <c r="B418" s="66">
        <f t="shared" si="118"/>
        <v>0</v>
      </c>
      <c r="C418" s="58">
        <f t="shared" si="116"/>
        <v>0.025</v>
      </c>
      <c r="D418" s="57">
        <f t="shared" si="119"/>
        <v>0</v>
      </c>
      <c r="E418" s="57">
        <f t="shared" si="120"/>
        <v>0</v>
      </c>
      <c r="F418" s="59">
        <v>0.5</v>
      </c>
      <c r="G418" s="66">
        <f t="shared" si="121"/>
        <v>0</v>
      </c>
      <c r="H418" s="60">
        <f t="shared" si="117"/>
        <v>0</v>
      </c>
    </row>
    <row r="419" spans="1:8" ht="13.5" thickBot="1">
      <c r="A419" s="50" t="s">
        <v>11</v>
      </c>
      <c r="B419" s="64">
        <f>SUM(B407:B418)</f>
        <v>742.2837717364598</v>
      </c>
      <c r="C419" s="64"/>
      <c r="D419" s="64">
        <f>SUM(D407:D418)</f>
        <v>5069.79816096002</v>
      </c>
      <c r="E419" s="64">
        <f>SUM(E407:E418)</f>
        <v>126.74495402400052</v>
      </c>
      <c r="F419" s="64"/>
      <c r="G419" s="201">
        <f>SUM(G407:G418)</f>
        <v>63.37247701200026</v>
      </c>
      <c r="H419" s="210">
        <f>SUM(H407:H418)</f>
        <v>0.03168623850600013</v>
      </c>
    </row>
    <row r="420" spans="1:8" ht="12.75">
      <c r="A420" s="18"/>
      <c r="B420" s="7"/>
      <c r="C420" s="7"/>
      <c r="D420" s="7"/>
      <c r="E420" s="7"/>
      <c r="F420" s="7"/>
      <c r="G420" s="13"/>
      <c r="H420" s="7"/>
    </row>
    <row r="421" spans="1:8" ht="13.5" thickBot="1">
      <c r="A421" s="397" t="s">
        <v>182</v>
      </c>
      <c r="B421" s="397"/>
      <c r="C421" s="397"/>
      <c r="D421" s="397"/>
      <c r="E421" s="397"/>
      <c r="F421" s="397"/>
      <c r="G421" s="397"/>
      <c r="H421" s="397"/>
    </row>
    <row r="422" spans="1:8" ht="24.75" thickBot="1">
      <c r="A422" s="46" t="s">
        <v>6</v>
      </c>
      <c r="B422" s="47" t="s">
        <v>7</v>
      </c>
      <c r="C422" s="47" t="s">
        <v>12</v>
      </c>
      <c r="D422" s="47" t="s">
        <v>9</v>
      </c>
      <c r="E422" s="48" t="s">
        <v>13</v>
      </c>
      <c r="F422" s="48" t="s">
        <v>3</v>
      </c>
      <c r="G422" s="200" t="s">
        <v>14</v>
      </c>
      <c r="H422" s="48" t="s">
        <v>15</v>
      </c>
    </row>
    <row r="423" spans="1:8" ht="13.5" thickBot="1">
      <c r="A423" s="392" t="s">
        <v>119</v>
      </c>
      <c r="B423" s="395"/>
      <c r="C423" s="395"/>
      <c r="D423" s="395"/>
      <c r="E423" s="395"/>
      <c r="F423" s="395"/>
      <c r="G423" s="395"/>
      <c r="H423" s="396"/>
    </row>
    <row r="424" spans="1:8" ht="12.75">
      <c r="A424" s="55"/>
      <c r="B424" s="19"/>
      <c r="C424" s="19"/>
      <c r="D424" s="19"/>
      <c r="E424" s="19"/>
      <c r="F424" s="19"/>
      <c r="G424" s="66"/>
      <c r="H424" s="56"/>
    </row>
    <row r="425" spans="1:8" ht="12.75">
      <c r="A425" s="85" t="str">
        <f>A407</f>
        <v>Jan</v>
      </c>
      <c r="B425" s="66">
        <f>B136</f>
        <v>51.874714403569264</v>
      </c>
      <c r="C425" s="58">
        <v>0.025</v>
      </c>
      <c r="D425" s="57">
        <f aca="true" t="shared" si="122" ref="D425:D436">B425*6.83</f>
        <v>354.3042993763781</v>
      </c>
      <c r="E425" s="57">
        <f aca="true" t="shared" si="123" ref="E425:E436">D425*C425</f>
        <v>8.857607484409453</v>
      </c>
      <c r="F425" s="59">
        <v>0.5</v>
      </c>
      <c r="G425" s="66">
        <f>E425*F425</f>
        <v>4.428803742204726</v>
      </c>
      <c r="H425" s="60">
        <f aca="true" t="shared" si="124" ref="H425:H436">G425/2000</f>
        <v>0.0022144018711023634</v>
      </c>
    </row>
    <row r="426" spans="1:8" ht="12.75">
      <c r="A426" s="85" t="str">
        <f aca="true" t="shared" si="125" ref="A426:A436">A408</f>
        <v>Feb</v>
      </c>
      <c r="B426" s="66">
        <f aca="true" t="shared" si="126" ref="B426:B436">B137</f>
        <v>41.49977152285541</v>
      </c>
      <c r="C426" s="58">
        <f aca="true" t="shared" si="127" ref="C426:C436">C408</f>
        <v>0.025</v>
      </c>
      <c r="D426" s="57">
        <f t="shared" si="122"/>
        <v>283.4434395011025</v>
      </c>
      <c r="E426" s="57">
        <f t="shared" si="123"/>
        <v>7.086085987527563</v>
      </c>
      <c r="F426" s="59">
        <v>0.5</v>
      </c>
      <c r="G426" s="66">
        <f aca="true" t="shared" si="128" ref="G426:G436">E426*F426</f>
        <v>3.5430429937637813</v>
      </c>
      <c r="H426" s="60">
        <f t="shared" si="124"/>
        <v>0.0017715214968818907</v>
      </c>
    </row>
    <row r="427" spans="1:8" ht="12.75">
      <c r="A427" s="85" t="str">
        <f t="shared" si="125"/>
        <v>Mar</v>
      </c>
      <c r="B427" s="66">
        <f t="shared" si="126"/>
        <v>41.49977152285541</v>
      </c>
      <c r="C427" s="58">
        <f t="shared" si="127"/>
        <v>0.025</v>
      </c>
      <c r="D427" s="57">
        <f t="shared" si="122"/>
        <v>283.4434395011025</v>
      </c>
      <c r="E427" s="57">
        <f t="shared" si="123"/>
        <v>7.086085987527563</v>
      </c>
      <c r="F427" s="59">
        <v>0.5</v>
      </c>
      <c r="G427" s="66">
        <f t="shared" si="128"/>
        <v>3.5430429937637813</v>
      </c>
      <c r="H427" s="60">
        <f t="shared" si="124"/>
        <v>0.0017715214968818907</v>
      </c>
    </row>
    <row r="428" spans="1:8" ht="12.75">
      <c r="A428" s="85" t="str">
        <f t="shared" si="125"/>
        <v>Apr</v>
      </c>
      <c r="B428" s="66">
        <f t="shared" si="126"/>
        <v>51.874714403569264</v>
      </c>
      <c r="C428" s="58">
        <f t="shared" si="127"/>
        <v>0.025</v>
      </c>
      <c r="D428" s="57">
        <f t="shared" si="122"/>
        <v>354.3042993763781</v>
      </c>
      <c r="E428" s="57">
        <f t="shared" si="123"/>
        <v>8.857607484409453</v>
      </c>
      <c r="F428" s="59">
        <v>0.5</v>
      </c>
      <c r="G428" s="66">
        <f t="shared" si="128"/>
        <v>4.428803742204726</v>
      </c>
      <c r="H428" s="60">
        <f t="shared" si="124"/>
        <v>0.0022144018711023634</v>
      </c>
    </row>
    <row r="429" spans="1:8" ht="12.75">
      <c r="A429" s="85" t="str">
        <f t="shared" si="125"/>
        <v>May</v>
      </c>
      <c r="B429" s="66">
        <f t="shared" si="126"/>
        <v>51.874714403569264</v>
      </c>
      <c r="C429" s="58">
        <f t="shared" si="127"/>
        <v>0.025</v>
      </c>
      <c r="D429" s="57">
        <f t="shared" si="122"/>
        <v>354.3042993763781</v>
      </c>
      <c r="E429" s="57">
        <f t="shared" si="123"/>
        <v>8.857607484409453</v>
      </c>
      <c r="F429" s="59">
        <v>0.5</v>
      </c>
      <c r="G429" s="66">
        <f t="shared" si="128"/>
        <v>4.428803742204726</v>
      </c>
      <c r="H429" s="60">
        <f t="shared" si="124"/>
        <v>0.0022144018711023634</v>
      </c>
    </row>
    <row r="430" spans="1:8" ht="12.75">
      <c r="A430" s="85" t="str">
        <f t="shared" si="125"/>
        <v>Jun</v>
      </c>
      <c r="B430" s="66">
        <f t="shared" si="126"/>
        <v>51.874714403569264</v>
      </c>
      <c r="C430" s="58">
        <f t="shared" si="127"/>
        <v>0.025</v>
      </c>
      <c r="D430" s="57">
        <f t="shared" si="122"/>
        <v>354.3042993763781</v>
      </c>
      <c r="E430" s="57">
        <f t="shared" si="123"/>
        <v>8.857607484409453</v>
      </c>
      <c r="F430" s="59">
        <v>0.5</v>
      </c>
      <c r="G430" s="66">
        <f t="shared" si="128"/>
        <v>4.428803742204726</v>
      </c>
      <c r="H430" s="60">
        <f t="shared" si="124"/>
        <v>0.0022144018711023634</v>
      </c>
    </row>
    <row r="431" spans="1:8" ht="12.75">
      <c r="A431" s="85" t="str">
        <f t="shared" si="125"/>
        <v>Jul</v>
      </c>
      <c r="B431" s="66">
        <f t="shared" si="126"/>
        <v>31.12482864214156</v>
      </c>
      <c r="C431" s="58">
        <f t="shared" si="127"/>
        <v>0.025</v>
      </c>
      <c r="D431" s="57">
        <f t="shared" si="122"/>
        <v>212.58257962582684</v>
      </c>
      <c r="E431" s="57">
        <f t="shared" si="123"/>
        <v>5.3145644906456715</v>
      </c>
      <c r="F431" s="59">
        <v>0.5</v>
      </c>
      <c r="G431" s="66">
        <f t="shared" si="128"/>
        <v>2.6572822453228357</v>
      </c>
      <c r="H431" s="60">
        <f t="shared" si="124"/>
        <v>0.001328641122661418</v>
      </c>
    </row>
    <row r="432" spans="1:8" ht="12.75">
      <c r="A432" s="85" t="str">
        <f t="shared" si="125"/>
        <v>Aug</v>
      </c>
      <c r="B432" s="66">
        <f t="shared" si="126"/>
        <v>0</v>
      </c>
      <c r="C432" s="58">
        <f t="shared" si="127"/>
        <v>0.025</v>
      </c>
      <c r="D432" s="57">
        <f t="shared" si="122"/>
        <v>0</v>
      </c>
      <c r="E432" s="57">
        <f t="shared" si="123"/>
        <v>0</v>
      </c>
      <c r="F432" s="59">
        <v>0.5</v>
      </c>
      <c r="G432" s="66">
        <f t="shared" si="128"/>
        <v>0</v>
      </c>
      <c r="H432" s="60">
        <f t="shared" si="124"/>
        <v>0</v>
      </c>
    </row>
    <row r="433" spans="1:8" ht="12.75">
      <c r="A433" s="85" t="str">
        <f t="shared" si="125"/>
        <v>Sep</v>
      </c>
      <c r="B433" s="66">
        <f t="shared" si="126"/>
        <v>0</v>
      </c>
      <c r="C433" s="58">
        <f t="shared" si="127"/>
        <v>0.025</v>
      </c>
      <c r="D433" s="57">
        <f t="shared" si="122"/>
        <v>0</v>
      </c>
      <c r="E433" s="57">
        <f t="shared" si="123"/>
        <v>0</v>
      </c>
      <c r="F433" s="59">
        <v>0.5</v>
      </c>
      <c r="G433" s="66">
        <f t="shared" si="128"/>
        <v>0</v>
      </c>
      <c r="H433" s="60">
        <f t="shared" si="124"/>
        <v>0</v>
      </c>
    </row>
    <row r="434" spans="1:8" ht="12.75">
      <c r="A434" s="85" t="str">
        <f t="shared" si="125"/>
        <v>Oct</v>
      </c>
      <c r="B434" s="66">
        <f t="shared" si="126"/>
        <v>0</v>
      </c>
      <c r="C434" s="58">
        <f t="shared" si="127"/>
        <v>0.025</v>
      </c>
      <c r="D434" s="57">
        <f t="shared" si="122"/>
        <v>0</v>
      </c>
      <c r="E434" s="57">
        <f t="shared" si="123"/>
        <v>0</v>
      </c>
      <c r="F434" s="59">
        <v>0.5</v>
      </c>
      <c r="G434" s="66">
        <f t="shared" si="128"/>
        <v>0</v>
      </c>
      <c r="H434" s="60">
        <f t="shared" si="124"/>
        <v>0</v>
      </c>
    </row>
    <row r="435" spans="1:8" ht="12.75">
      <c r="A435" s="85" t="str">
        <f t="shared" si="125"/>
        <v>Nov</v>
      </c>
      <c r="B435" s="66">
        <f t="shared" si="126"/>
        <v>0</v>
      </c>
      <c r="C435" s="58">
        <f t="shared" si="127"/>
        <v>0.025</v>
      </c>
      <c r="D435" s="57">
        <f t="shared" si="122"/>
        <v>0</v>
      </c>
      <c r="E435" s="57">
        <f t="shared" si="123"/>
        <v>0</v>
      </c>
      <c r="F435" s="59">
        <v>0.5</v>
      </c>
      <c r="G435" s="66">
        <f t="shared" si="128"/>
        <v>0</v>
      </c>
      <c r="H435" s="60">
        <f t="shared" si="124"/>
        <v>0</v>
      </c>
    </row>
    <row r="436" spans="1:8" ht="13.5" thickBot="1">
      <c r="A436" s="85" t="str">
        <f t="shared" si="125"/>
        <v>Dec</v>
      </c>
      <c r="B436" s="66">
        <f t="shared" si="126"/>
        <v>0</v>
      </c>
      <c r="C436" s="58">
        <f t="shared" si="127"/>
        <v>0.025</v>
      </c>
      <c r="D436" s="57">
        <f t="shared" si="122"/>
        <v>0</v>
      </c>
      <c r="E436" s="57">
        <f t="shared" si="123"/>
        <v>0</v>
      </c>
      <c r="F436" s="59">
        <v>0.5</v>
      </c>
      <c r="G436" s="66">
        <f t="shared" si="128"/>
        <v>0</v>
      </c>
      <c r="H436" s="60">
        <f t="shared" si="124"/>
        <v>0</v>
      </c>
    </row>
    <row r="437" spans="1:8" ht="13.5" thickBot="1">
      <c r="A437" s="50" t="s">
        <v>11</v>
      </c>
      <c r="B437" s="64">
        <f>SUM(B425:B436)</f>
        <v>321.62322930212946</v>
      </c>
      <c r="C437" s="64"/>
      <c r="D437" s="64">
        <f>SUM(D425:D436)</f>
        <v>2196.686656133544</v>
      </c>
      <c r="E437" s="64">
        <f>SUM(E425:E436)</f>
        <v>54.917166403338605</v>
      </c>
      <c r="F437" s="64"/>
      <c r="G437" s="201">
        <f>SUM(G425:G436)</f>
        <v>27.458583201669303</v>
      </c>
      <c r="H437" s="65">
        <f>SUM(H425:H436)</f>
        <v>0.013729291600834652</v>
      </c>
    </row>
    <row r="438" spans="1:8" ht="12.75">
      <c r="A438" s="29"/>
      <c r="B438" s="30"/>
      <c r="C438" s="30"/>
      <c r="D438" s="30"/>
      <c r="E438" s="30"/>
      <c r="F438" s="30"/>
      <c r="G438" s="51"/>
      <c r="H438" s="53"/>
    </row>
    <row r="439" spans="1:8" ht="13.5" thickBot="1">
      <c r="A439" s="397" t="s">
        <v>223</v>
      </c>
      <c r="B439" s="397"/>
      <c r="C439" s="397"/>
      <c r="D439" s="397"/>
      <c r="E439" s="397"/>
      <c r="F439" s="397"/>
      <c r="G439" s="397"/>
      <c r="H439" s="397"/>
    </row>
    <row r="440" spans="1:8" ht="24.75" thickBot="1">
      <c r="A440" s="46" t="s">
        <v>6</v>
      </c>
      <c r="B440" s="47" t="s">
        <v>7</v>
      </c>
      <c r="C440" s="47" t="s">
        <v>12</v>
      </c>
      <c r="D440" s="47" t="s">
        <v>9</v>
      </c>
      <c r="E440" s="48" t="s">
        <v>13</v>
      </c>
      <c r="F440" s="48" t="s">
        <v>3</v>
      </c>
      <c r="G440" s="200" t="s">
        <v>14</v>
      </c>
      <c r="H440" s="48" t="s">
        <v>15</v>
      </c>
    </row>
    <row r="441" spans="1:8" ht="13.5" thickBot="1">
      <c r="A441" s="392" t="s">
        <v>168</v>
      </c>
      <c r="B441" s="395"/>
      <c r="C441" s="395"/>
      <c r="D441" s="395"/>
      <c r="E441" s="395"/>
      <c r="F441" s="395"/>
      <c r="G441" s="395"/>
      <c r="H441" s="396"/>
    </row>
    <row r="442" spans="1:8" ht="12.75">
      <c r="A442" s="55"/>
      <c r="B442" s="19"/>
      <c r="C442" s="19"/>
      <c r="D442" s="19"/>
      <c r="E442" s="19"/>
      <c r="F442" s="19"/>
      <c r="G442" s="66"/>
      <c r="H442" s="56"/>
    </row>
    <row r="443" spans="1:8" ht="19.5" customHeight="1">
      <c r="A443" s="85" t="str">
        <f aca="true" t="shared" si="129" ref="A443:A454">A371</f>
        <v>Jan</v>
      </c>
      <c r="B443" s="66">
        <f aca="true" t="shared" si="130" ref="B443:B454">B153</f>
        <v>103.40209660667917</v>
      </c>
      <c r="C443" s="58">
        <v>0.025</v>
      </c>
      <c r="D443" s="57">
        <f aca="true" t="shared" si="131" ref="D443:D454">B443*6.83</f>
        <v>706.2363198236187</v>
      </c>
      <c r="E443" s="57">
        <f aca="true" t="shared" si="132" ref="E443:E454">D443*C443</f>
        <v>17.655907995590468</v>
      </c>
      <c r="F443" s="59">
        <v>0.5</v>
      </c>
      <c r="G443" s="66">
        <f>E443*F443</f>
        <v>8.827953997795234</v>
      </c>
      <c r="H443" s="60">
        <f aca="true" t="shared" si="133" ref="H443:H454">G443/2000</f>
        <v>0.0044139769988976165</v>
      </c>
    </row>
    <row r="444" spans="1:14" ht="12.75">
      <c r="A444" s="85" t="str">
        <f t="shared" si="129"/>
        <v>Feb</v>
      </c>
      <c r="B444" s="66">
        <f t="shared" si="130"/>
        <v>82.72167728534333</v>
      </c>
      <c r="C444" s="58">
        <v>0.025</v>
      </c>
      <c r="D444" s="57">
        <f t="shared" si="131"/>
        <v>564.989055858895</v>
      </c>
      <c r="E444" s="57">
        <f t="shared" si="132"/>
        <v>14.124726396472376</v>
      </c>
      <c r="F444" s="59">
        <v>0.5</v>
      </c>
      <c r="G444" s="66">
        <f aca="true" t="shared" si="134" ref="G444:G454">E444*F444</f>
        <v>7.062363198236188</v>
      </c>
      <c r="H444" s="60">
        <f t="shared" si="133"/>
        <v>0.003531181599118094</v>
      </c>
      <c r="I444"/>
      <c r="J444"/>
      <c r="K444" s="2"/>
      <c r="N444"/>
    </row>
    <row r="445" spans="1:14" ht="12.75">
      <c r="A445" s="85" t="str">
        <f t="shared" si="129"/>
        <v>Mar</v>
      </c>
      <c r="B445" s="66">
        <f t="shared" si="130"/>
        <v>82.72167728534333</v>
      </c>
      <c r="C445" s="58">
        <v>0.025</v>
      </c>
      <c r="D445" s="57">
        <f t="shared" si="131"/>
        <v>564.989055858895</v>
      </c>
      <c r="E445" s="57">
        <f t="shared" si="132"/>
        <v>14.124726396472376</v>
      </c>
      <c r="F445" s="59">
        <v>0.5</v>
      </c>
      <c r="G445" s="66">
        <f t="shared" si="134"/>
        <v>7.062363198236188</v>
      </c>
      <c r="H445" s="60">
        <f t="shared" si="133"/>
        <v>0.003531181599118094</v>
      </c>
      <c r="I445"/>
      <c r="J445"/>
      <c r="K445" s="2"/>
      <c r="N445"/>
    </row>
    <row r="446" spans="1:14" ht="12.75">
      <c r="A446" s="85" t="str">
        <f t="shared" si="129"/>
        <v>Apr</v>
      </c>
      <c r="B446" s="66">
        <f t="shared" si="130"/>
        <v>103.40209660667917</v>
      </c>
      <c r="C446" s="58">
        <v>0.025</v>
      </c>
      <c r="D446" s="57">
        <f t="shared" si="131"/>
        <v>706.2363198236187</v>
      </c>
      <c r="E446" s="57">
        <f t="shared" si="132"/>
        <v>17.655907995590468</v>
      </c>
      <c r="F446" s="59">
        <v>0.5</v>
      </c>
      <c r="G446" s="66">
        <f t="shared" si="134"/>
        <v>8.827953997795234</v>
      </c>
      <c r="H446" s="60">
        <f t="shared" si="133"/>
        <v>0.0044139769988976165</v>
      </c>
      <c r="I446"/>
      <c r="J446"/>
      <c r="K446" s="2"/>
      <c r="N446"/>
    </row>
    <row r="447" spans="1:14" ht="12.75">
      <c r="A447" s="85" t="str">
        <f t="shared" si="129"/>
        <v>May</v>
      </c>
      <c r="B447" s="66">
        <f t="shared" si="130"/>
        <v>103.40209660667917</v>
      </c>
      <c r="C447" s="58">
        <v>0.025</v>
      </c>
      <c r="D447" s="57">
        <f t="shared" si="131"/>
        <v>706.2363198236187</v>
      </c>
      <c r="E447" s="57">
        <f t="shared" si="132"/>
        <v>17.655907995590468</v>
      </c>
      <c r="F447" s="59">
        <v>0.5</v>
      </c>
      <c r="G447" s="66">
        <f t="shared" si="134"/>
        <v>8.827953997795234</v>
      </c>
      <c r="H447" s="60">
        <f t="shared" si="133"/>
        <v>0.0044139769988976165</v>
      </c>
      <c r="I447"/>
      <c r="J447"/>
      <c r="K447" s="2"/>
      <c r="N447"/>
    </row>
    <row r="448" spans="1:8" ht="12.75">
      <c r="A448" s="85" t="str">
        <f t="shared" si="129"/>
        <v>Jun</v>
      </c>
      <c r="B448" s="66">
        <f t="shared" si="130"/>
        <v>103.40209660667917</v>
      </c>
      <c r="C448" s="58">
        <v>0.025</v>
      </c>
      <c r="D448" s="57">
        <f t="shared" si="131"/>
        <v>706.2363198236187</v>
      </c>
      <c r="E448" s="57">
        <f t="shared" si="132"/>
        <v>17.655907995590468</v>
      </c>
      <c r="F448" s="59">
        <v>0.5</v>
      </c>
      <c r="G448" s="66">
        <f t="shared" si="134"/>
        <v>8.827953997795234</v>
      </c>
      <c r="H448" s="60">
        <f t="shared" si="133"/>
        <v>0.0044139769988976165</v>
      </c>
    </row>
    <row r="449" spans="1:8" ht="12.75">
      <c r="A449" s="85" t="str">
        <f t="shared" si="129"/>
        <v>Jul</v>
      </c>
      <c r="B449" s="66">
        <f t="shared" si="130"/>
        <v>62.0412579640075</v>
      </c>
      <c r="C449" s="58">
        <v>0.025</v>
      </c>
      <c r="D449" s="57">
        <f t="shared" si="131"/>
        <v>423.74179189417123</v>
      </c>
      <c r="E449" s="57">
        <f t="shared" si="132"/>
        <v>10.593544797354282</v>
      </c>
      <c r="F449" s="59">
        <v>0.5</v>
      </c>
      <c r="G449" s="66">
        <f t="shared" si="134"/>
        <v>5.296772398677141</v>
      </c>
      <c r="H449" s="60">
        <f t="shared" si="133"/>
        <v>0.0026483861993385704</v>
      </c>
    </row>
    <row r="450" spans="1:8" ht="12.75">
      <c r="A450" s="85" t="str">
        <f t="shared" si="129"/>
        <v>Aug</v>
      </c>
      <c r="B450" s="66">
        <f t="shared" si="130"/>
        <v>0</v>
      </c>
      <c r="C450" s="58">
        <v>0.025</v>
      </c>
      <c r="D450" s="57">
        <f t="shared" si="131"/>
        <v>0</v>
      </c>
      <c r="E450" s="57">
        <f t="shared" si="132"/>
        <v>0</v>
      </c>
      <c r="F450" s="59">
        <v>0.5</v>
      </c>
      <c r="G450" s="66">
        <f t="shared" si="134"/>
        <v>0</v>
      </c>
      <c r="H450" s="60">
        <f t="shared" si="133"/>
        <v>0</v>
      </c>
    </row>
    <row r="451" spans="1:8" ht="12.75">
      <c r="A451" s="85" t="str">
        <f t="shared" si="129"/>
        <v>Sep</v>
      </c>
      <c r="B451" s="66">
        <f t="shared" si="130"/>
        <v>0</v>
      </c>
      <c r="C451" s="58">
        <v>0.025</v>
      </c>
      <c r="D451" s="57">
        <f t="shared" si="131"/>
        <v>0</v>
      </c>
      <c r="E451" s="57">
        <f t="shared" si="132"/>
        <v>0</v>
      </c>
      <c r="F451" s="59">
        <v>0.5</v>
      </c>
      <c r="G451" s="66">
        <f t="shared" si="134"/>
        <v>0</v>
      </c>
      <c r="H451" s="60">
        <f t="shared" si="133"/>
        <v>0</v>
      </c>
    </row>
    <row r="452" spans="1:8" ht="12.75">
      <c r="A452" s="85" t="str">
        <f t="shared" si="129"/>
        <v>Oct</v>
      </c>
      <c r="B452" s="66">
        <f t="shared" si="130"/>
        <v>0</v>
      </c>
      <c r="C452" s="58">
        <v>0.025</v>
      </c>
      <c r="D452" s="57">
        <f t="shared" si="131"/>
        <v>0</v>
      </c>
      <c r="E452" s="57">
        <f t="shared" si="132"/>
        <v>0</v>
      </c>
      <c r="F452" s="59">
        <v>0.5</v>
      </c>
      <c r="G452" s="66">
        <f t="shared" si="134"/>
        <v>0</v>
      </c>
      <c r="H452" s="60">
        <f t="shared" si="133"/>
        <v>0</v>
      </c>
    </row>
    <row r="453" spans="1:8" ht="12.75">
      <c r="A453" s="85" t="str">
        <f t="shared" si="129"/>
        <v>Nov</v>
      </c>
      <c r="B453" s="66">
        <f t="shared" si="130"/>
        <v>0</v>
      </c>
      <c r="C453" s="58">
        <v>0.025</v>
      </c>
      <c r="D453" s="57">
        <f t="shared" si="131"/>
        <v>0</v>
      </c>
      <c r="E453" s="57">
        <f t="shared" si="132"/>
        <v>0</v>
      </c>
      <c r="F453" s="59">
        <v>0.5</v>
      </c>
      <c r="G453" s="66">
        <f t="shared" si="134"/>
        <v>0</v>
      </c>
      <c r="H453" s="60">
        <f t="shared" si="133"/>
        <v>0</v>
      </c>
    </row>
    <row r="454" spans="1:8" ht="13.5" thickBot="1">
      <c r="A454" s="85" t="str">
        <f t="shared" si="129"/>
        <v>Dec</v>
      </c>
      <c r="B454" s="66">
        <f t="shared" si="130"/>
        <v>0</v>
      </c>
      <c r="C454" s="58">
        <v>0.025</v>
      </c>
      <c r="D454" s="57">
        <f t="shared" si="131"/>
        <v>0</v>
      </c>
      <c r="E454" s="57">
        <f t="shared" si="132"/>
        <v>0</v>
      </c>
      <c r="F454" s="59">
        <v>0.5</v>
      </c>
      <c r="G454" s="66">
        <f t="shared" si="134"/>
        <v>0</v>
      </c>
      <c r="H454" s="60">
        <f t="shared" si="133"/>
        <v>0</v>
      </c>
    </row>
    <row r="455" spans="1:8" ht="13.5" thickBot="1">
      <c r="A455" s="50" t="s">
        <v>11</v>
      </c>
      <c r="B455" s="64">
        <f>SUM(B443:B454)</f>
        <v>641.0929989614108</v>
      </c>
      <c r="C455" s="64"/>
      <c r="D455" s="64">
        <f>SUM(D443:D454)</f>
        <v>4378.665182906436</v>
      </c>
      <c r="E455" s="64">
        <f>SUM(E443:E454)</f>
        <v>109.4666295726609</v>
      </c>
      <c r="F455" s="64"/>
      <c r="G455" s="201">
        <f>SUM(G443:G454)</f>
        <v>54.73331478633045</v>
      </c>
      <c r="H455" s="65">
        <f>SUM(H443:H454)</f>
        <v>0.027366657393165225</v>
      </c>
    </row>
    <row r="456" spans="3:8" ht="12.75">
      <c r="C456"/>
      <c r="E456"/>
      <c r="F456"/>
      <c r="G456" s="195"/>
      <c r="H456"/>
    </row>
    <row r="457" spans="3:8" ht="12.75">
      <c r="C457"/>
      <c r="E457"/>
      <c r="F457"/>
      <c r="G457" s="195"/>
      <c r="H457"/>
    </row>
    <row r="458" spans="1:9" ht="12.75">
      <c r="A458" s="388" t="s">
        <v>193</v>
      </c>
      <c r="B458" s="388"/>
      <c r="C458" s="388"/>
      <c r="D458" s="388"/>
      <c r="E458" s="388"/>
      <c r="F458" s="388"/>
      <c r="G458" s="388"/>
      <c r="H458" s="388"/>
      <c r="I458" s="388"/>
    </row>
    <row r="459" spans="1:9" ht="12.75">
      <c r="A459" s="404" t="s">
        <v>256</v>
      </c>
      <c r="B459" s="404"/>
      <c r="C459" s="404"/>
      <c r="D459" s="404"/>
      <c r="E459" s="404"/>
      <c r="F459" s="404"/>
      <c r="G459" s="404"/>
      <c r="H459" s="404"/>
      <c r="I459" s="404"/>
    </row>
    <row r="460" spans="1:15" ht="33.75">
      <c r="A460" s="411" t="s">
        <v>16</v>
      </c>
      <c r="B460" s="412"/>
      <c r="C460" s="413"/>
      <c r="D460" s="54" t="s">
        <v>191</v>
      </c>
      <c r="E460" s="54" t="s">
        <v>169</v>
      </c>
      <c r="F460" s="54" t="s">
        <v>190</v>
      </c>
      <c r="G460" s="54" t="s">
        <v>195</v>
      </c>
      <c r="H460" s="203" t="s">
        <v>170</v>
      </c>
      <c r="I460" s="54" t="s">
        <v>171</v>
      </c>
      <c r="J460" s="7"/>
      <c r="K460" s="8"/>
      <c r="N460"/>
      <c r="O460" s="2"/>
    </row>
    <row r="461" spans="1:15" ht="12.75">
      <c r="A461" s="414" t="s">
        <v>63</v>
      </c>
      <c r="B461" s="415"/>
      <c r="C461" s="416"/>
      <c r="D461" s="34" t="s">
        <v>53</v>
      </c>
      <c r="E461" s="186" t="s">
        <v>53</v>
      </c>
      <c r="F461" s="187">
        <f>H383+H365+H401</f>
        <v>0.22538999999999998</v>
      </c>
      <c r="G461" s="187" t="s">
        <v>53</v>
      </c>
      <c r="H461" s="42" t="str">
        <f>F462</f>
        <v>---</v>
      </c>
      <c r="I461" s="385">
        <f>SUM(D466:H466)</f>
        <v>2.8562841350000006</v>
      </c>
      <c r="J461" s="7"/>
      <c r="K461" s="8"/>
      <c r="N461"/>
      <c r="O461" s="2"/>
    </row>
    <row r="462" spans="1:15" ht="12.75">
      <c r="A462" s="414" t="s">
        <v>17</v>
      </c>
      <c r="B462" s="415"/>
      <c r="C462" s="416"/>
      <c r="D462" s="34">
        <f>(H326+H289+H308)*0.5</f>
        <v>0.260907075</v>
      </c>
      <c r="E462" s="34">
        <f>(H326+H289+H308)*0.5</f>
        <v>0.260907075</v>
      </c>
      <c r="F462" s="187" t="s">
        <v>53</v>
      </c>
      <c r="G462" s="187" t="s">
        <v>53</v>
      </c>
      <c r="H462" s="42" t="str">
        <f>F462</f>
        <v>---</v>
      </c>
      <c r="I462" s="386"/>
      <c r="J462" s="7"/>
      <c r="K462" s="8"/>
      <c r="N462"/>
      <c r="O462" s="2"/>
    </row>
    <row r="463" spans="1:15" ht="12.75">
      <c r="A463" s="414" t="s">
        <v>130</v>
      </c>
      <c r="B463" s="415"/>
      <c r="C463" s="416"/>
      <c r="D463" s="34" t="str">
        <f>D461</f>
        <v>---</v>
      </c>
      <c r="E463" s="186" t="s">
        <v>53</v>
      </c>
      <c r="F463" s="187" t="str">
        <f>F462</f>
        <v>---</v>
      </c>
      <c r="G463" s="187" t="s">
        <v>53</v>
      </c>
      <c r="H463" s="42">
        <f>H437+H419+H455+'INPUT 4 - SHEETFED USAGE &amp; EMIS'!N43</f>
        <v>0.08143968750000001</v>
      </c>
      <c r="I463" s="386"/>
      <c r="J463" s="7"/>
      <c r="K463" s="8"/>
      <c r="N463"/>
      <c r="O463" s="2"/>
    </row>
    <row r="464" spans="1:15" ht="12.75">
      <c r="A464" s="417" t="s">
        <v>196</v>
      </c>
      <c r="B464" s="418"/>
      <c r="C464" s="419"/>
      <c r="D464" s="186" t="s">
        <v>53</v>
      </c>
      <c r="E464" s="186" t="s">
        <v>53</v>
      </c>
      <c r="F464" s="186" t="s">
        <v>53</v>
      </c>
      <c r="G464" s="208">
        <f>'INPUT 4 - SHEETFED USAGE &amp; EMIS'!N47</f>
        <v>0.0017805</v>
      </c>
      <c r="H464" s="42" t="str">
        <f>F464</f>
        <v>---</v>
      </c>
      <c r="I464" s="386"/>
      <c r="J464" s="7"/>
      <c r="K464" s="8"/>
      <c r="N464"/>
      <c r="O464" s="2"/>
    </row>
    <row r="465" spans="1:15" ht="12.75">
      <c r="A465" s="417" t="s">
        <v>231</v>
      </c>
      <c r="B465" s="418"/>
      <c r="C465" s="419"/>
      <c r="D465" s="186">
        <f>H343*6.21</f>
        <v>1.0040374575000002</v>
      </c>
      <c r="E465" s="186">
        <f>H343*0.11</f>
        <v>0.017784882500000005</v>
      </c>
      <c r="F465" s="186" t="s">
        <v>53</v>
      </c>
      <c r="G465" s="208">
        <f>H343*6.21</f>
        <v>1.0040374575000002</v>
      </c>
      <c r="H465" s="42" t="str">
        <f>F465</f>
        <v>---</v>
      </c>
      <c r="I465" s="386"/>
      <c r="J465" s="7"/>
      <c r="K465" s="8"/>
      <c r="N465"/>
      <c r="O465" s="2"/>
    </row>
    <row r="466" spans="1:15" ht="12.75">
      <c r="A466" s="408" t="s">
        <v>121</v>
      </c>
      <c r="B466" s="409"/>
      <c r="C466" s="410"/>
      <c r="D466" s="35">
        <f>SUM(D461:D465)</f>
        <v>1.2649445325000002</v>
      </c>
      <c r="E466" s="35">
        <f>SUM(E461:E465)</f>
        <v>0.2786919575</v>
      </c>
      <c r="F466" s="188">
        <f>SUM(F461:F465)</f>
        <v>0.22538999999999998</v>
      </c>
      <c r="G466" s="209">
        <f>SUM(G461:G465)</f>
        <v>1.0058179575000001</v>
      </c>
      <c r="H466" s="35">
        <f>SUM(H461:H465)</f>
        <v>0.08143968750000001</v>
      </c>
      <c r="I466" s="387"/>
      <c r="J466" s="7"/>
      <c r="K466" s="8"/>
      <c r="N466"/>
      <c r="O466" s="2"/>
    </row>
    <row r="468" ht="13.5" thickBot="1"/>
    <row r="469" spans="1:3" ht="12.75">
      <c r="A469" s="294" t="s">
        <v>235</v>
      </c>
      <c r="B469" s="295"/>
      <c r="C469" s="296"/>
    </row>
    <row r="470" spans="1:3" ht="13.5" thickBot="1">
      <c r="A470" s="297"/>
      <c r="B470" s="298"/>
      <c r="C470" s="299"/>
    </row>
    <row r="471" spans="1:16" ht="12.75">
      <c r="A471" s="291"/>
      <c r="B471" s="306" t="s">
        <v>236</v>
      </c>
      <c r="C471" s="306" t="s">
        <v>237</v>
      </c>
      <c r="D471" s="307" t="s">
        <v>259</v>
      </c>
      <c r="E471" s="308" t="s">
        <v>238</v>
      </c>
      <c r="F471"/>
      <c r="G471"/>
      <c r="H471"/>
      <c r="I471"/>
      <c r="J471"/>
      <c r="N471"/>
      <c r="P471" s="2"/>
    </row>
    <row r="472" spans="1:15" ht="12.75">
      <c r="A472" s="302" t="s">
        <v>136</v>
      </c>
      <c r="B472" s="309">
        <f>H49+H118+H171+G239+(F8*'INPUT 3 - PRESS RUN HOURS'!B$12)</f>
        <v>0.6151070539303622</v>
      </c>
      <c r="C472" s="309">
        <f>H66+H136+H188+(F8*'INPUT 3 - PRESS RUN HOURS'!B$13)</f>
        <v>0.3091277750909485</v>
      </c>
      <c r="D472" s="310">
        <f>'INPUT 4 - SHEETFED USAGE &amp; EMIS'!B$36</f>
        <v>0.158704125</v>
      </c>
      <c r="E472" s="311">
        <f>H83+H100+H153+H205+G256+H222+(F8*'INPUT 3 - PRESS RUN HOURS'!B$14)</f>
        <v>0.42912394410189536</v>
      </c>
      <c r="G472" s="6"/>
      <c r="H472" s="193"/>
      <c r="I472" s="6"/>
      <c r="J472" s="7"/>
      <c r="K472" s="8"/>
      <c r="N472"/>
      <c r="O472" s="2"/>
    </row>
    <row r="473" spans="1:15" ht="12.75">
      <c r="A473" s="302" t="s">
        <v>149</v>
      </c>
      <c r="B473" s="309">
        <f>H50+H119+H172+G240+(F9*'INPUT 3 - PRESS RUN HOURS'!C$12)</f>
        <v>0.5454437184347956</v>
      </c>
      <c r="C473" s="309">
        <f>H67+H137+H189+(F9*'INPUT 3 - PRESS RUN HOURS'!C$12)</f>
        <v>0.36910465755273264</v>
      </c>
      <c r="D473" s="310">
        <f>'INPUT 4 - SHEETFED USAGE &amp; EMIS'!C$36</f>
        <v>0.11050737499999998</v>
      </c>
      <c r="E473" s="311">
        <f>H84+H101+H154+H206+G257+H223+(F9*'INPUT 3 - PRESS RUN HOURS'!C$14)</f>
        <v>0.4294969341655205</v>
      </c>
      <c r="G473" s="6"/>
      <c r="H473" s="193"/>
      <c r="I473" s="6"/>
      <c r="J473" s="7"/>
      <c r="K473" s="8"/>
      <c r="N473"/>
      <c r="O473" s="2"/>
    </row>
    <row r="474" spans="1:15" ht="12.75">
      <c r="A474" s="302" t="s">
        <v>150</v>
      </c>
      <c r="B474" s="309">
        <f>H51+H120+H173+G241+(F10*'INPUT 3 - PRESS RUN HOURS'!D$12)</f>
        <v>0.6350569676012173</v>
      </c>
      <c r="C474" s="309">
        <f>H68+H138+H190+(F10*'INPUT 3 - PRESS RUN HOURS'!D$12)</f>
        <v>0.4575186059364238</v>
      </c>
      <c r="D474" s="310">
        <f>'INPUT 4 - SHEETFED USAGE &amp; EMIS'!D$36</f>
        <v>0.1231065</v>
      </c>
      <c r="E474" s="311">
        <f>H85+H102+H155+H207+G258+H224+(F10*'INPUT 3 - PRESS RUN HOURS'!D$14)</f>
        <v>0.4132609273960961</v>
      </c>
      <c r="G474" s="6"/>
      <c r="H474" s="193"/>
      <c r="I474" s="6"/>
      <c r="J474" s="7"/>
      <c r="K474" s="8"/>
      <c r="N474"/>
      <c r="O474" s="2"/>
    </row>
    <row r="475" spans="1:15" ht="12.75">
      <c r="A475" s="302" t="s">
        <v>140</v>
      </c>
      <c r="B475" s="309">
        <f>H52+H121+H174+G242+(F11*'INPUT 3 - PRESS RUN HOURS'!E$12)</f>
        <v>0.6275023023110549</v>
      </c>
      <c r="C475" s="309">
        <f>H69+H139+H191+(F11*'INPUT 3 - PRESS RUN HOURS'!E$12)</f>
        <v>0.4161077010445077</v>
      </c>
      <c r="D475" s="310">
        <f>'INPUT 4 - SHEETFED USAGE &amp; EMIS'!E$36</f>
        <v>0.179757125</v>
      </c>
      <c r="E475" s="311">
        <f>H86+H103+H156+H208+G259+H225+(F11*'INPUT 3 - PRESS RUN HOURS'!E$14)</f>
        <v>0.466720366498365</v>
      </c>
      <c r="G475" s="6"/>
      <c r="H475" s="193"/>
      <c r="I475" s="6"/>
      <c r="J475" s="7"/>
      <c r="K475" s="8"/>
      <c r="N475"/>
      <c r="O475" s="2"/>
    </row>
    <row r="476" spans="1:15" ht="12.75">
      <c r="A476" s="302" t="s">
        <v>141</v>
      </c>
      <c r="B476" s="309">
        <f>H53+H122+H175+G243+(F12*'INPUT 3 - PRESS RUN HOURS'!F$12)</f>
        <v>0.5342717118797002</v>
      </c>
      <c r="C476" s="309">
        <f>H70+H140+H192+(F12*'INPUT 3 - PRESS RUN HOURS'!F$12)</f>
        <v>0.3571857341554726</v>
      </c>
      <c r="D476" s="310">
        <f>'INPUT 4 - SHEETFED USAGE &amp; EMIS'!F$36</f>
        <v>0.14852674999999999</v>
      </c>
      <c r="E476" s="311">
        <f>H87+H104+H157+H209+G260+H226+(F12*'INPUT 3 - PRESS RUN HOURS'!F$14)</f>
        <v>0.3753152710104836</v>
      </c>
      <c r="G476" s="6"/>
      <c r="H476" s="193"/>
      <c r="I476" s="6"/>
      <c r="J476" s="7"/>
      <c r="K476" s="8"/>
      <c r="N476"/>
      <c r="O476" s="2"/>
    </row>
    <row r="477" spans="1:15" ht="12.75">
      <c r="A477" s="302" t="s">
        <v>151</v>
      </c>
      <c r="B477" s="309">
        <f>H54+H123+H176+G244+(F13*'INPUT 3 - PRESS RUN HOURS'!G$12)</f>
        <v>0.4521563871783991</v>
      </c>
      <c r="C477" s="309">
        <f>H71+H141+H193+(F13*'INPUT 3 - PRESS RUN HOURS'!G$12)</f>
        <v>0.27891563166107824</v>
      </c>
      <c r="D477" s="310">
        <f>'INPUT 4 - SHEETFED USAGE &amp; EMIS'!G$36</f>
        <v>0.16809925</v>
      </c>
      <c r="E477" s="311">
        <f>H88+H105+H158+H210+G261+H227+(F13*'INPUT 3 - PRESS RUN HOURS'!G$14)</f>
        <v>0.3237113942427713</v>
      </c>
      <c r="G477" s="6"/>
      <c r="H477" s="193"/>
      <c r="I477" s="6"/>
      <c r="J477" s="7"/>
      <c r="K477" s="8"/>
      <c r="N477"/>
      <c r="O477" s="2"/>
    </row>
    <row r="478" spans="1:15" ht="12.75">
      <c r="A478" s="302" t="s">
        <v>152</v>
      </c>
      <c r="B478" s="309">
        <f>H55+H124+H177+G245+(F14*'INPUT 3 - PRESS RUN HOURS'!H$12)</f>
        <v>0.42257771132469</v>
      </c>
      <c r="C478" s="309">
        <f>H72+H142+H194+(F14*'INPUT 3 - PRESS RUN HOURS'!H$12)</f>
        <v>0.26749749318142574</v>
      </c>
      <c r="D478" s="310">
        <f>'INPUT 4 - SHEETFED USAGE &amp; EMIS'!H$36</f>
        <v>0.099838375</v>
      </c>
      <c r="E478" s="311">
        <f>H89+H106+H159+H211+G262+H228+(F14*'INPUT 3 - PRESS RUN HOURS'!H$14)</f>
        <v>0.33155425834353885</v>
      </c>
      <c r="G478" s="6"/>
      <c r="H478" s="193"/>
      <c r="I478" s="6"/>
      <c r="J478" s="7"/>
      <c r="K478" s="8"/>
      <c r="N478"/>
      <c r="O478" s="2"/>
    </row>
    <row r="479" spans="1:15" ht="12.75">
      <c r="A479" s="302" t="s">
        <v>153</v>
      </c>
      <c r="B479" s="309" t="e">
        <f>H56+H125+H178+G246+(F15*'INPUT 3 - PRESS RUN HOURS'!I$12)</f>
        <v>#DIV/0!</v>
      </c>
      <c r="C479" s="309" t="e">
        <f>H73+H143+H195+(F15*'INPUT 3 - PRESS RUN HOURS'!I$12)</f>
        <v>#DIV/0!</v>
      </c>
      <c r="D479" s="310">
        <f>'INPUT 4 - SHEETFED USAGE &amp; EMIS'!I$36</f>
        <v>0</v>
      </c>
      <c r="E479" s="311" t="e">
        <f>H90+H107+H160+H212+G263+H229+(F15*'INPUT 3 - PRESS RUN HOURS'!I$14)</f>
        <v>#DIV/0!</v>
      </c>
      <c r="G479" s="6"/>
      <c r="H479" s="193"/>
      <c r="I479" s="6"/>
      <c r="J479" s="7"/>
      <c r="K479" s="8"/>
      <c r="N479"/>
      <c r="O479" s="2"/>
    </row>
    <row r="480" spans="1:15" ht="12.75">
      <c r="A480" s="302" t="s">
        <v>145</v>
      </c>
      <c r="B480" s="309" t="e">
        <f>H57+H126+H179+G247+(F16*'INPUT 3 - PRESS RUN HOURS'!J$12)</f>
        <v>#DIV/0!</v>
      </c>
      <c r="C480" s="309" t="e">
        <f>H74+H144+H196+(F16*'INPUT 3 - PRESS RUN HOURS'!J$12)</f>
        <v>#DIV/0!</v>
      </c>
      <c r="D480" s="310">
        <f>'INPUT 4 - SHEETFED USAGE &amp; EMIS'!J$36</f>
        <v>0</v>
      </c>
      <c r="E480" s="311" t="e">
        <f>H91+H108+H161+H213+G264+H230+(F16*'INPUT 3 - PRESS RUN HOURS'!J$14)</f>
        <v>#DIV/0!</v>
      </c>
      <c r="G480" s="6"/>
      <c r="H480" s="193"/>
      <c r="I480" s="6"/>
      <c r="J480" s="7"/>
      <c r="K480" s="8"/>
      <c r="N480"/>
      <c r="O480" s="2"/>
    </row>
    <row r="481" spans="1:15" ht="12.75">
      <c r="A481" s="302" t="s">
        <v>146</v>
      </c>
      <c r="B481" s="309" t="e">
        <f>H58+H127+H180+G248+(F17*'INPUT 3 - PRESS RUN HOURS'!K$12)</f>
        <v>#DIV/0!</v>
      </c>
      <c r="C481" s="309" t="e">
        <f>H75+H145+H197+(F17*'INPUT 3 - PRESS RUN HOURS'!K$12)</f>
        <v>#DIV/0!</v>
      </c>
      <c r="D481" s="310">
        <f>'INPUT 4 - SHEETFED USAGE &amp; EMIS'!K$36</f>
        <v>0</v>
      </c>
      <c r="E481" s="311" t="e">
        <f>H92+H109+H162+H214+G265+H231+(F17*'INPUT 3 - PRESS RUN HOURS'!K$14)</f>
        <v>#DIV/0!</v>
      </c>
      <c r="G481" s="6"/>
      <c r="H481" s="193"/>
      <c r="I481" s="6"/>
      <c r="J481" s="7"/>
      <c r="K481" s="8"/>
      <c r="N481"/>
      <c r="O481" s="2"/>
    </row>
    <row r="482" spans="1:15" ht="12.75">
      <c r="A482" s="302" t="s">
        <v>154</v>
      </c>
      <c r="B482" s="309" t="e">
        <f>H59+H128+H181+G249+(F18*'INPUT 3 - PRESS RUN HOURS'!L$12)</f>
        <v>#DIV/0!</v>
      </c>
      <c r="C482" s="309" t="e">
        <f>H76+H146+H198+(F18*'INPUT 3 - PRESS RUN HOURS'!L$12)</f>
        <v>#DIV/0!</v>
      </c>
      <c r="D482" s="310">
        <f>'INPUT 4 - SHEETFED USAGE &amp; EMIS'!L$36</f>
        <v>0</v>
      </c>
      <c r="E482" s="311" t="e">
        <f>H93+H110+H163+H215+G266+H232+(F18*'INPUT 3 - PRESS RUN HOURS'!L$14)</f>
        <v>#DIV/0!</v>
      </c>
      <c r="G482" s="6"/>
      <c r="H482" s="193"/>
      <c r="I482" s="6"/>
      <c r="J482" s="7"/>
      <c r="K482" s="8"/>
      <c r="N482"/>
      <c r="O482" s="2"/>
    </row>
    <row r="483" spans="1:15" ht="13.5" thickBot="1">
      <c r="A483" s="303" t="s">
        <v>148</v>
      </c>
      <c r="B483" s="312" t="e">
        <f>H60+H129+H182+G250+(F19*'INPUT 3 - PRESS RUN HOURS'!M$12)</f>
        <v>#DIV/0!</v>
      </c>
      <c r="C483" s="309" t="e">
        <f>H77+H147+H199+(F19*'INPUT 3 - PRESS RUN HOURS'!M$12)</f>
        <v>#DIV/0!</v>
      </c>
      <c r="D483" s="310">
        <f>'INPUT 4 - SHEETFED USAGE &amp; EMIS'!M$36</f>
        <v>0</v>
      </c>
      <c r="E483" s="311" t="e">
        <f>H94+H111+H164+H216+G267+H233+(F19*'INPUT 3 - PRESS RUN HOURS'!M$14)</f>
        <v>#DIV/0!</v>
      </c>
      <c r="G483" s="6"/>
      <c r="H483" s="193"/>
      <c r="I483" s="6"/>
      <c r="J483" s="7"/>
      <c r="K483" s="8"/>
      <c r="N483"/>
      <c r="O483" s="2"/>
    </row>
    <row r="484" spans="1:15" ht="13.5" thickBot="1">
      <c r="A484" s="304" t="s">
        <v>239</v>
      </c>
      <c r="B484" s="293"/>
      <c r="C484" s="292"/>
      <c r="D484" s="292"/>
      <c r="E484" s="292"/>
      <c r="G484" s="6"/>
      <c r="H484" s="193"/>
      <c r="I484" s="6"/>
      <c r="J484" s="7"/>
      <c r="K484" s="8"/>
      <c r="N484"/>
      <c r="O484" s="2"/>
    </row>
    <row r="487" ht="12.75">
      <c r="A487" s="305" t="s">
        <v>240</v>
      </c>
    </row>
    <row r="488" ht="13.5" thickBot="1"/>
    <row r="489" spans="1:5" ht="12.75">
      <c r="A489" s="291"/>
      <c r="B489" s="300" t="s">
        <v>236</v>
      </c>
      <c r="C489" s="300" t="s">
        <v>237</v>
      </c>
      <c r="D489" s="300" t="s">
        <v>259</v>
      </c>
      <c r="E489" s="301" t="s">
        <v>238</v>
      </c>
    </row>
    <row r="490" spans="1:5" ht="12.75">
      <c r="A490" s="302" t="s">
        <v>136</v>
      </c>
      <c r="B490" s="313">
        <f>B472</f>
        <v>0.6151070539303622</v>
      </c>
      <c r="C490" s="312">
        <f>C472</f>
        <v>0.3091277750909485</v>
      </c>
      <c r="D490" s="313">
        <f>D472</f>
        <v>0.158704125</v>
      </c>
      <c r="E490" s="311">
        <f>E472</f>
        <v>0.42912394410189536</v>
      </c>
    </row>
    <row r="491" spans="1:5" ht="12.75">
      <c r="A491" s="302" t="s">
        <v>149</v>
      </c>
      <c r="B491" s="317">
        <f>B473+B490</f>
        <v>1.1605507723651578</v>
      </c>
      <c r="C491" s="312">
        <f>C473+C490</f>
        <v>0.6782324326436812</v>
      </c>
      <c r="D491" s="323">
        <f>D473+D490</f>
        <v>0.2692115</v>
      </c>
      <c r="E491" s="318">
        <f>E473+E490</f>
        <v>0.8586208782674158</v>
      </c>
    </row>
    <row r="492" spans="1:5" ht="12.75">
      <c r="A492" s="302" t="s">
        <v>150</v>
      </c>
      <c r="B492" s="317">
        <f aca="true" t="shared" si="135" ref="B492:B501">B474+B491</f>
        <v>1.7956077399663752</v>
      </c>
      <c r="C492" s="312">
        <f aca="true" t="shared" si="136" ref="C492:C501">C474+C491</f>
        <v>1.1357510385801048</v>
      </c>
      <c r="D492" s="318">
        <f aca="true" t="shared" si="137" ref="D492:D501">D474+D491</f>
        <v>0.392318</v>
      </c>
      <c r="E492" s="312">
        <f aca="true" t="shared" si="138" ref="E492:E501">E474+E491</f>
        <v>1.271881805663512</v>
      </c>
    </row>
    <row r="493" spans="1:5" ht="12.75">
      <c r="A493" s="302" t="s">
        <v>140</v>
      </c>
      <c r="B493" s="317">
        <f t="shared" si="135"/>
        <v>2.42311004227743</v>
      </c>
      <c r="C493" s="312">
        <f t="shared" si="136"/>
        <v>1.5518587396246126</v>
      </c>
      <c r="D493" s="318">
        <f t="shared" si="137"/>
        <v>0.572075125</v>
      </c>
      <c r="E493" s="309">
        <f t="shared" si="138"/>
        <v>1.738602172161877</v>
      </c>
    </row>
    <row r="494" spans="1:5" ht="12.75">
      <c r="A494" s="302" t="s">
        <v>141</v>
      </c>
      <c r="B494" s="317">
        <f t="shared" si="135"/>
        <v>2.9573817541571303</v>
      </c>
      <c r="C494" s="312">
        <f t="shared" si="136"/>
        <v>1.9090444737800851</v>
      </c>
      <c r="D494" s="323">
        <f t="shared" si="137"/>
        <v>0.7206018750000001</v>
      </c>
      <c r="E494" s="309">
        <f t="shared" si="138"/>
        <v>2.1139174431723604</v>
      </c>
    </row>
    <row r="495" spans="1:5" ht="12.75">
      <c r="A495" s="302" t="s">
        <v>151</v>
      </c>
      <c r="B495" s="317">
        <f t="shared" si="135"/>
        <v>3.4095381413355295</v>
      </c>
      <c r="C495" s="312">
        <f t="shared" si="136"/>
        <v>2.1879601054411633</v>
      </c>
      <c r="D495" s="318">
        <f t="shared" si="137"/>
        <v>0.8887011250000001</v>
      </c>
      <c r="E495" s="318">
        <f t="shared" si="138"/>
        <v>2.4376288374151316</v>
      </c>
    </row>
    <row r="496" spans="1:5" ht="12.75">
      <c r="A496" s="302" t="s">
        <v>152</v>
      </c>
      <c r="B496" s="310">
        <f t="shared" si="135"/>
        <v>3.8321158526602197</v>
      </c>
      <c r="C496" s="309">
        <f t="shared" si="136"/>
        <v>2.455457598622589</v>
      </c>
      <c r="D496" s="323">
        <f t="shared" si="137"/>
        <v>0.9885395000000001</v>
      </c>
      <c r="E496" s="323">
        <f t="shared" si="138"/>
        <v>2.7691830957586703</v>
      </c>
    </row>
    <row r="497" spans="1:5" ht="12.75">
      <c r="A497" s="302" t="s">
        <v>153</v>
      </c>
      <c r="B497" s="320" t="e">
        <f t="shared" si="135"/>
        <v>#DIV/0!</v>
      </c>
      <c r="C497" s="324" t="e">
        <f t="shared" si="136"/>
        <v>#DIV/0!</v>
      </c>
      <c r="D497" s="323">
        <f t="shared" si="137"/>
        <v>0.9885395000000001</v>
      </c>
      <c r="E497" s="309" t="e">
        <f t="shared" si="138"/>
        <v>#DIV/0!</v>
      </c>
    </row>
    <row r="498" spans="1:5" ht="12.75">
      <c r="A498" s="302" t="s">
        <v>145</v>
      </c>
      <c r="B498" s="320" t="e">
        <f t="shared" si="135"/>
        <v>#DIV/0!</v>
      </c>
      <c r="C498" s="324" t="e">
        <f t="shared" si="136"/>
        <v>#DIV/0!</v>
      </c>
      <c r="D498" s="322">
        <f t="shared" si="137"/>
        <v>0.9885395000000001</v>
      </c>
      <c r="E498" s="322" t="e">
        <f t="shared" si="138"/>
        <v>#DIV/0!</v>
      </c>
    </row>
    <row r="499" spans="1:5" ht="12.75">
      <c r="A499" s="302" t="s">
        <v>146</v>
      </c>
      <c r="B499" s="320" t="e">
        <f t="shared" si="135"/>
        <v>#DIV/0!</v>
      </c>
      <c r="C499" s="324" t="e">
        <f t="shared" si="136"/>
        <v>#DIV/0!</v>
      </c>
      <c r="D499" s="322">
        <f t="shared" si="137"/>
        <v>0.9885395000000001</v>
      </c>
      <c r="E499" s="319" t="e">
        <f t="shared" si="138"/>
        <v>#DIV/0!</v>
      </c>
    </row>
    <row r="500" spans="1:5" ht="12.75">
      <c r="A500" s="302" t="s">
        <v>154</v>
      </c>
      <c r="B500" s="320" t="e">
        <f t="shared" si="135"/>
        <v>#DIV/0!</v>
      </c>
      <c r="C500" s="324" t="e">
        <f t="shared" si="136"/>
        <v>#DIV/0!</v>
      </c>
      <c r="D500" s="321">
        <f t="shared" si="137"/>
        <v>0.9885395000000001</v>
      </c>
      <c r="E500" s="323" t="e">
        <f t="shared" si="138"/>
        <v>#DIV/0!</v>
      </c>
    </row>
    <row r="501" spans="1:5" ht="13.5" thickBot="1">
      <c r="A501" s="314" t="s">
        <v>148</v>
      </c>
      <c r="B501" s="315" t="e">
        <f t="shared" si="135"/>
        <v>#DIV/0!</v>
      </c>
      <c r="C501" s="325" t="e">
        <f t="shared" si="136"/>
        <v>#DIV/0!</v>
      </c>
      <c r="D501" s="315">
        <f t="shared" si="137"/>
        <v>0.9885395000000001</v>
      </c>
      <c r="E501" s="316" t="e">
        <f t="shared" si="138"/>
        <v>#DIV/0!</v>
      </c>
    </row>
    <row r="502" ht="12.75">
      <c r="C502" s="326"/>
    </row>
  </sheetData>
  <sheetProtection selectLockedCells="1" selectUnlockedCells="1"/>
  <mergeCells count="98">
    <mergeCell ref="A63:H63"/>
    <mergeCell ref="A48:H48"/>
    <mergeCell ref="A43:H43"/>
    <mergeCell ref="A117:H117"/>
    <mergeCell ref="A97:H97"/>
    <mergeCell ref="A99:H99"/>
    <mergeCell ref="A65:H65"/>
    <mergeCell ref="A82:H82"/>
    <mergeCell ref="A46:H46"/>
    <mergeCell ref="A187:H187"/>
    <mergeCell ref="A80:H80"/>
    <mergeCell ref="A150:H150"/>
    <mergeCell ref="A135:H135"/>
    <mergeCell ref="A152:H152"/>
    <mergeCell ref="A185:H185"/>
    <mergeCell ref="A168:H168"/>
    <mergeCell ref="A170:H170"/>
    <mergeCell ref="A115:H115"/>
    <mergeCell ref="A133:H133"/>
    <mergeCell ref="A236:G236"/>
    <mergeCell ref="A273:H273"/>
    <mergeCell ref="A275:H275"/>
    <mergeCell ref="A271:H271"/>
    <mergeCell ref="A253:G253"/>
    <mergeCell ref="A255:G255"/>
    <mergeCell ref="A202:H202"/>
    <mergeCell ref="A204:H204"/>
    <mergeCell ref="A238:G238"/>
    <mergeCell ref="A421:H421"/>
    <mergeCell ref="A292:H292"/>
    <mergeCell ref="A310:H310"/>
    <mergeCell ref="A312:H312"/>
    <mergeCell ref="A328:H328"/>
    <mergeCell ref="A330:H330"/>
    <mergeCell ref="A349:H349"/>
    <mergeCell ref="A42:H42"/>
    <mergeCell ref="A37:B37"/>
    <mergeCell ref="A35:B35"/>
    <mergeCell ref="A34:B34"/>
    <mergeCell ref="A38:B38"/>
    <mergeCell ref="A23:D23"/>
    <mergeCell ref="A27:B27"/>
    <mergeCell ref="A36:B36"/>
    <mergeCell ref="A33:B33"/>
    <mergeCell ref="A32:B32"/>
    <mergeCell ref="A29:B29"/>
    <mergeCell ref="A30:B30"/>
    <mergeCell ref="A20:B20"/>
    <mergeCell ref="A10:B10"/>
    <mergeCell ref="A11:B11"/>
    <mergeCell ref="A12:B12"/>
    <mergeCell ref="A14:B14"/>
    <mergeCell ref="A28:B28"/>
    <mergeCell ref="A15:B15"/>
    <mergeCell ref="A31:B31"/>
    <mergeCell ref="A21:B21"/>
    <mergeCell ref="A13:B13"/>
    <mergeCell ref="A16:B16"/>
    <mergeCell ref="A17:B17"/>
    <mergeCell ref="A19:B19"/>
    <mergeCell ref="A22:D22"/>
    <mergeCell ref="A25:B26"/>
    <mergeCell ref="A24:B24"/>
    <mergeCell ref="A18:B18"/>
    <mergeCell ref="A1:H1"/>
    <mergeCell ref="A2:H2"/>
    <mergeCell ref="A8:B8"/>
    <mergeCell ref="A9:B9"/>
    <mergeCell ref="A4:G4"/>
    <mergeCell ref="A6:G6"/>
    <mergeCell ref="A7:B7"/>
    <mergeCell ref="A5:G5"/>
    <mergeCell ref="A466:C466"/>
    <mergeCell ref="A460:C460"/>
    <mergeCell ref="A461:C461"/>
    <mergeCell ref="A462:C462"/>
    <mergeCell ref="A464:C464"/>
    <mergeCell ref="A463:C463"/>
    <mergeCell ref="A465:C465"/>
    <mergeCell ref="A367:H367"/>
    <mergeCell ref="A270:H270"/>
    <mergeCell ref="A459:I459"/>
    <mergeCell ref="A385:H385"/>
    <mergeCell ref="A345:H345"/>
    <mergeCell ref="A405:H405"/>
    <mergeCell ref="A423:H423"/>
    <mergeCell ref="A387:H387"/>
    <mergeCell ref="A369:H369"/>
    <mergeCell ref="I461:I466"/>
    <mergeCell ref="A458:I458"/>
    <mergeCell ref="A219:H219"/>
    <mergeCell ref="A221:H221"/>
    <mergeCell ref="A294:H294"/>
    <mergeCell ref="A403:H403"/>
    <mergeCell ref="A439:H439"/>
    <mergeCell ref="A441:H441"/>
    <mergeCell ref="A346:H346"/>
    <mergeCell ref="A351:H351"/>
  </mergeCells>
  <printOptions horizontalCentered="1"/>
  <pageMargins left="0.25" right="0.25" top="0.5" bottom="0.25" header="0.25" footer="0.5"/>
  <pageSetup horizontalDpi="1200" verticalDpi="1200" orientation="landscape" pageOrder="overThenDown" scale="69" r:id="rId3"/>
  <rowBreaks count="12" manualBreakCount="12">
    <brk id="21" max="8" man="1"/>
    <brk id="41" max="8" man="1"/>
    <brk id="78" max="8" man="1"/>
    <brk id="131" max="8" man="1"/>
    <brk id="183" max="8" man="1"/>
    <brk id="235" max="8" man="1"/>
    <brk id="269" max="8" man="1"/>
    <brk id="309" max="8" man="1"/>
    <brk id="347" max="8" man="1"/>
    <brk id="402" max="8" man="1"/>
    <brk id="438" max="8" man="1"/>
    <brk id="456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Compliance Management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Gregory, Steve</dc:creator>
  <cp:keywords/>
  <dc:description/>
  <cp:lastModifiedBy>apennetta</cp:lastModifiedBy>
  <cp:lastPrinted>2011-03-17T18:42:40Z</cp:lastPrinted>
  <dcterms:created xsi:type="dcterms:W3CDTF">2005-08-22T20:32:41Z</dcterms:created>
  <dcterms:modified xsi:type="dcterms:W3CDTF">2013-10-24T15:21:58Z</dcterms:modified>
  <cp:category/>
  <cp:version/>
  <cp:contentType/>
  <cp:contentStatus/>
</cp:coreProperties>
</file>