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15480" windowHeight="10125"/>
  </bookViews>
  <sheets>
    <sheet name="Project Summary" sheetId="1" r:id="rId1"/>
    <sheet name="Gas Engines" sheetId="2" r:id="rId2"/>
    <sheet name="Flares" sheetId="3" r:id="rId3"/>
    <sheet name="Boilers" sheetId="9" r:id="rId4"/>
    <sheet name="New Carbon Scrubber Emissions" sheetId="15" r:id="rId5"/>
    <sheet name="Existing Scrubber Emissions" sheetId="17" r:id="rId6"/>
    <sheet name="1750 kW Diesel Generator" sheetId="11" r:id="rId7"/>
    <sheet name="1750 kW HAP Emissions" sheetId="13" r:id="rId8"/>
    <sheet name="2000 kW Diesel Generator " sheetId="16" r:id="rId9"/>
    <sheet name="2000 kW HAP Emissions" sheetId="14" r:id="rId10"/>
    <sheet name="Cooling Tower " sheetId="18" r:id="rId11"/>
  </sheets>
  <externalReferences>
    <externalReference r:id="rId12"/>
    <externalReference r:id="rId13"/>
  </externalReferences>
  <definedNames>
    <definedName name="GWPCH4" localSheetId="10">'[1]Ref Parameters'!$G$19</definedName>
    <definedName name="GWPCH4">'[2]Ref Parameters'!$G$19</definedName>
    <definedName name="GWPCO2" localSheetId="10">'[1]Ref Parameters'!$G$18</definedName>
    <definedName name="GWPCO2">'[2]Ref Parameters'!$G$18</definedName>
    <definedName name="GWPN2O" localSheetId="10">'[1]Ref Parameters'!$G$20</definedName>
    <definedName name="GWPN2O">'[2]Ref Parameters'!$G$20</definedName>
    <definedName name="GWPSF6">'[1]Ref Parameters'!$G$21</definedName>
    <definedName name="MWF" localSheetId="10">'[1]Ref Parameters'!$G$26</definedName>
    <definedName name="MWF">'[2]Ref Parameters'!$G$25</definedName>
    <definedName name="MWH" localSheetId="10">'[1]Ref Parameters'!$G$23</definedName>
    <definedName name="MWH">'[2]Ref Parameters'!$G$22</definedName>
    <definedName name="MWO" localSheetId="10">'[1]Ref Parameters'!$G$24</definedName>
    <definedName name="MWO">'[2]Ref Parameters'!$G$23</definedName>
    <definedName name="MWS" localSheetId="10">'[1]Ref Parameters'!$G$25</definedName>
    <definedName name="MWS">'[2]Ref Parameters'!$G$24</definedName>
    <definedName name="_xlnm.Print_Area" localSheetId="6">'1750 kW Diesel Generator'!$A$1:$J$68</definedName>
    <definedName name="_xlnm.Print_Area" localSheetId="7">'1750 kW HAP Emissions'!$A$1:$J$74</definedName>
    <definedName name="_xlnm.Print_Area" localSheetId="8">'2000 kW Diesel Generator '!$A$1:$J$65</definedName>
    <definedName name="_xlnm.Print_Area" localSheetId="9">'2000 kW HAP Emissions'!$A$1:$J$71</definedName>
    <definedName name="_xlnm.Print_Area" localSheetId="3">Boilers!$A$1:$J$119</definedName>
    <definedName name="_xlnm.Print_Area" localSheetId="10">'Cooling Tower '!$A$1:$H$55</definedName>
    <definedName name="_xlnm.Print_Area" localSheetId="5">'Existing Scrubber Emissions'!$A$1:$O$26</definedName>
    <definedName name="_xlnm.Print_Area" localSheetId="2">Flares!$A$1:$I$105</definedName>
    <definedName name="_xlnm.Print_Area" localSheetId="1">'Gas Engines'!$A$1:$J$110</definedName>
    <definedName name="_xlnm.Print_Area" localSheetId="4">'New Carbon Scrubber Emissions'!$A$1:$O$34</definedName>
    <definedName name="_xlnm.Print_Area" localSheetId="0">'Project Summary'!$A$1:$V$104</definedName>
  </definedNames>
  <calcPr calcId="145621"/>
</workbook>
</file>

<file path=xl/calcChain.xml><?xml version="1.0" encoding="utf-8"?>
<calcChain xmlns="http://schemas.openxmlformats.org/spreadsheetml/2006/main">
  <c r="O24" i="1" l="1"/>
  <c r="P24" i="1" s="1"/>
  <c r="E40" i="1"/>
  <c r="L35" i="1" s="1"/>
  <c r="E39" i="1"/>
  <c r="L34" i="1" s="1"/>
  <c r="E38" i="1"/>
  <c r="L33" i="1" s="1"/>
  <c r="E18" i="1"/>
  <c r="E17" i="1"/>
  <c r="E16" i="1"/>
  <c r="F16" i="18"/>
  <c r="F13" i="18"/>
  <c r="E40" i="18" s="1"/>
  <c r="F40" i="18" s="1"/>
  <c r="G40" i="18" s="1"/>
  <c r="F15" i="18"/>
  <c r="I17" i="17" l="1"/>
  <c r="E43" i="1" s="1"/>
  <c r="E46" i="1" l="1"/>
  <c r="E42" i="1" l="1"/>
  <c r="G42" i="1" s="1"/>
  <c r="E41" i="1"/>
  <c r="G40" i="1"/>
  <c r="G39" i="1"/>
  <c r="G38" i="1"/>
  <c r="G41" i="1"/>
  <c r="E24" i="1"/>
  <c r="E20" i="1"/>
  <c r="E19" i="1"/>
  <c r="E52" i="1"/>
  <c r="G52" i="1" s="1"/>
  <c r="E53" i="1"/>
  <c r="G53" i="1" s="1"/>
  <c r="E54" i="1"/>
  <c r="G54" i="1" s="1"/>
  <c r="E55" i="1"/>
  <c r="G55" i="1" s="1"/>
  <c r="E56" i="1"/>
  <c r="G56" i="1" s="1"/>
  <c r="E57" i="1"/>
  <c r="G57" i="1" s="1"/>
  <c r="E58" i="1"/>
  <c r="G58" i="1" s="1"/>
  <c r="E59" i="1"/>
  <c r="G59" i="1" s="1"/>
  <c r="E60" i="1"/>
  <c r="G60" i="1" s="1"/>
  <c r="E61" i="1"/>
  <c r="G61" i="1" s="1"/>
  <c r="E62" i="1"/>
  <c r="G62" i="1" s="1"/>
  <c r="E63" i="1"/>
  <c r="G63" i="1" s="1"/>
  <c r="E64" i="1"/>
  <c r="G64" i="1" s="1"/>
  <c r="E65" i="1"/>
  <c r="G65" i="1" s="1"/>
  <c r="D38" i="3" l="1"/>
  <c r="E31" i="16" l="1"/>
  <c r="F31" i="16" s="1"/>
  <c r="E29" i="16"/>
  <c r="F29" i="16" s="1"/>
  <c r="E28" i="16"/>
  <c r="F28" i="16" s="1"/>
  <c r="E27" i="16"/>
  <c r="F27" i="16" s="1"/>
  <c r="E26" i="16"/>
  <c r="F26" i="16" s="1"/>
  <c r="E25" i="16"/>
  <c r="F25" i="16" s="1"/>
  <c r="C38" i="16"/>
  <c r="E38" i="16" s="1"/>
  <c r="C37" i="16"/>
  <c r="E37" i="16" s="1"/>
  <c r="E41" i="16" s="1"/>
  <c r="E30" i="16"/>
  <c r="E33" i="16" s="1"/>
  <c r="E11" i="16"/>
  <c r="E10" i="16"/>
  <c r="R12" i="1"/>
  <c r="C30" i="16" l="1"/>
  <c r="F33" i="16"/>
  <c r="C33" i="16"/>
  <c r="F41" i="16"/>
  <c r="C41" i="16"/>
  <c r="E42" i="16"/>
  <c r="E40" i="16" s="1"/>
  <c r="C40" i="16" s="1"/>
  <c r="F38" i="16"/>
  <c r="E36" i="16"/>
  <c r="C36" i="16" s="1"/>
  <c r="F37" i="16"/>
  <c r="F30" i="16"/>
  <c r="G81" i="9"/>
  <c r="G80" i="9"/>
  <c r="G79" i="9"/>
  <c r="G78" i="9"/>
  <c r="G77" i="9"/>
  <c r="G76" i="9"/>
  <c r="G75" i="9"/>
  <c r="G74" i="9"/>
  <c r="G73" i="9"/>
  <c r="G72" i="9"/>
  <c r="G71" i="9"/>
  <c r="E79" i="3"/>
  <c r="D79" i="3"/>
  <c r="F66" i="3"/>
  <c r="E66" i="3"/>
  <c r="D66" i="3"/>
  <c r="G65" i="3"/>
  <c r="G79" i="3" s="1"/>
  <c r="F65" i="3"/>
  <c r="E65" i="3"/>
  <c r="D65" i="3"/>
  <c r="E55" i="3"/>
  <c r="D55" i="3"/>
  <c r="G54" i="3"/>
  <c r="F54" i="3"/>
  <c r="F79" i="3" s="1"/>
  <c r="E54" i="3"/>
  <c r="D54" i="3"/>
  <c r="E69" i="1"/>
  <c r="F64" i="2"/>
  <c r="D41" i="2"/>
  <c r="D40" i="2"/>
  <c r="D37" i="2"/>
  <c r="D34" i="2"/>
  <c r="D33" i="2"/>
  <c r="I21" i="15"/>
  <c r="I20" i="15"/>
  <c r="I19" i="15"/>
  <c r="G52" i="9"/>
  <c r="G51" i="9"/>
  <c r="G50" i="9"/>
  <c r="G49" i="9"/>
  <c r="G48" i="9"/>
  <c r="G47" i="9"/>
  <c r="F40" i="9"/>
  <c r="F39" i="9"/>
  <c r="F38" i="9"/>
  <c r="C31" i="9"/>
  <c r="E11" i="9"/>
  <c r="F21" i="3"/>
  <c r="E21" i="3"/>
  <c r="D21" i="3"/>
  <c r="F36" i="16" l="1"/>
  <c r="C42" i="16"/>
  <c r="F42" i="16"/>
  <c r="F40" i="16" s="1"/>
  <c r="E11" i="11"/>
  <c r="S12" i="1" l="1"/>
  <c r="I22" i="15" l="1"/>
  <c r="G43" i="1" l="1"/>
  <c r="E21" i="1"/>
  <c r="G21" i="1" s="1"/>
  <c r="O23" i="1"/>
  <c r="P23" i="1" s="1"/>
  <c r="D51" i="3"/>
  <c r="D76" i="3" s="1"/>
  <c r="D50" i="3"/>
  <c r="D75" i="3" s="1"/>
  <c r="D49" i="3"/>
  <c r="L38" i="1" l="1"/>
  <c r="N38" i="1" s="1"/>
  <c r="D74" i="3"/>
  <c r="F48" i="3"/>
  <c r="G48" i="3"/>
  <c r="F63" i="3" l="1"/>
  <c r="E63" i="3"/>
  <c r="D63" i="3"/>
  <c r="G63" i="3"/>
  <c r="G62" i="3"/>
  <c r="G73" i="3" s="1"/>
  <c r="F62" i="3"/>
  <c r="F73" i="3" s="1"/>
  <c r="E62" i="3"/>
  <c r="D62" i="3"/>
  <c r="G61" i="3"/>
  <c r="G60" i="3"/>
  <c r="G59" i="3"/>
  <c r="F61" i="3"/>
  <c r="F60" i="3"/>
  <c r="F59" i="3"/>
  <c r="E61" i="3"/>
  <c r="E60" i="3"/>
  <c r="E59" i="3"/>
  <c r="D59" i="3"/>
  <c r="D61" i="3"/>
  <c r="D60" i="3"/>
  <c r="E48" i="3"/>
  <c r="D48" i="3"/>
  <c r="G52" i="3"/>
  <c r="F52" i="3"/>
  <c r="E52" i="3"/>
  <c r="D52" i="3"/>
  <c r="G47" i="3"/>
  <c r="G46" i="3"/>
  <c r="G45" i="3"/>
  <c r="F47" i="3"/>
  <c r="F46" i="3"/>
  <c r="F45" i="3"/>
  <c r="E47" i="3"/>
  <c r="E46" i="3"/>
  <c r="E45" i="3"/>
  <c r="D47" i="3"/>
  <c r="D46" i="3"/>
  <c r="D45" i="3"/>
  <c r="F55" i="3" l="1"/>
  <c r="E73" i="3"/>
  <c r="E72" i="3"/>
  <c r="G70" i="3"/>
  <c r="D71" i="3"/>
  <c r="E71" i="3"/>
  <c r="F72" i="3"/>
  <c r="G77" i="3"/>
  <c r="D72" i="3"/>
  <c r="D73" i="3"/>
  <c r="D70" i="3"/>
  <c r="F70" i="3"/>
  <c r="G71" i="3"/>
  <c r="E77" i="3"/>
  <c r="E70" i="3"/>
  <c r="F71" i="3"/>
  <c r="G72" i="3"/>
  <c r="F77" i="3"/>
  <c r="D77" i="3"/>
  <c r="F53" i="3"/>
  <c r="D53" i="3"/>
  <c r="E36" i="1" l="1"/>
  <c r="G36" i="1" s="1"/>
  <c r="E14" i="1"/>
  <c r="E13" i="1"/>
  <c r="E35" i="1"/>
  <c r="G35" i="1" s="1"/>
  <c r="E44" i="1"/>
  <c r="E22" i="1"/>
  <c r="E12" i="1"/>
  <c r="E34" i="1"/>
  <c r="G34" i="1" s="1"/>
  <c r="E15" i="1"/>
  <c r="E37" i="1"/>
  <c r="G37" i="1" s="1"/>
  <c r="O20" i="1"/>
  <c r="P20" i="1" s="1"/>
  <c r="O19" i="1"/>
  <c r="P19" i="1" s="1"/>
  <c r="O22" i="1"/>
  <c r="P22" i="1" s="1"/>
  <c r="O21" i="1"/>
  <c r="P21" i="1" s="1"/>
  <c r="F64" i="3"/>
  <c r="D64" i="3"/>
  <c r="D78" i="3" s="1"/>
  <c r="G64" i="3"/>
  <c r="G66" i="3" s="1"/>
  <c r="E64" i="3"/>
  <c r="G53" i="3"/>
  <c r="G55" i="3" s="1"/>
  <c r="E53" i="3"/>
  <c r="C44" i="14"/>
  <c r="G80" i="3" l="1"/>
  <c r="G78" i="3"/>
  <c r="E80" i="3"/>
  <c r="E78" i="3"/>
  <c r="F80" i="3"/>
  <c r="F78" i="3"/>
  <c r="D80" i="3"/>
  <c r="C40" i="14"/>
  <c r="C45" i="13"/>
  <c r="C46" i="14"/>
  <c r="C45" i="14"/>
  <c r="E10" i="14"/>
  <c r="E39" i="14" s="1"/>
  <c r="F39" i="14" s="1"/>
  <c r="C43" i="14"/>
  <c r="C41" i="14"/>
  <c r="C42" i="14"/>
  <c r="C42" i="13"/>
  <c r="C46" i="13"/>
  <c r="E10" i="13"/>
  <c r="C43" i="13"/>
  <c r="C40" i="13"/>
  <c r="C44" i="13"/>
  <c r="C41" i="13"/>
  <c r="E45" i="1" l="1"/>
  <c r="E23" i="1"/>
  <c r="E33" i="14"/>
  <c r="F33" i="14" s="1"/>
  <c r="E40" i="14"/>
  <c r="F40" i="14" s="1"/>
  <c r="E36" i="14"/>
  <c r="F36" i="14" s="1"/>
  <c r="E43" i="14"/>
  <c r="F43" i="14" s="1"/>
  <c r="E41" i="13"/>
  <c r="F41" i="13" s="1"/>
  <c r="E80" i="1" s="1"/>
  <c r="E44" i="13"/>
  <c r="F44" i="13" s="1"/>
  <c r="E42" i="13"/>
  <c r="F42" i="13" s="1"/>
  <c r="E46" i="13"/>
  <c r="F46" i="13" s="1"/>
  <c r="E40" i="13"/>
  <c r="F40" i="13" s="1"/>
  <c r="E79" i="1" s="1"/>
  <c r="E35" i="14"/>
  <c r="F35" i="14" s="1"/>
  <c r="E34" i="14"/>
  <c r="F34" i="14" s="1"/>
  <c r="E45" i="14"/>
  <c r="F45" i="14" s="1"/>
  <c r="E42" i="14"/>
  <c r="F42" i="14" s="1"/>
  <c r="E41" i="14"/>
  <c r="F41" i="14" s="1"/>
  <c r="E32" i="14"/>
  <c r="F32" i="14" s="1"/>
  <c r="E46" i="14"/>
  <c r="F46" i="14" s="1"/>
  <c r="E37" i="14"/>
  <c r="F37" i="14" s="1"/>
  <c r="E38" i="14"/>
  <c r="F38" i="14" s="1"/>
  <c r="E44" i="14"/>
  <c r="F44" i="14" s="1"/>
  <c r="E38" i="13"/>
  <c r="F38" i="13" s="1"/>
  <c r="E36" i="13"/>
  <c r="F36" i="13" s="1"/>
  <c r="E34" i="13"/>
  <c r="F34" i="13" s="1"/>
  <c r="E32" i="13"/>
  <c r="F32" i="13" s="1"/>
  <c r="E39" i="13"/>
  <c r="F39" i="13" s="1"/>
  <c r="E37" i="13"/>
  <c r="F37" i="13" s="1"/>
  <c r="E35" i="13"/>
  <c r="F35" i="13" s="1"/>
  <c r="E33" i="13"/>
  <c r="F33" i="13" s="1"/>
  <c r="E43" i="13"/>
  <c r="F43" i="13" s="1"/>
  <c r="E82" i="1" s="1"/>
  <c r="E45" i="13"/>
  <c r="F45" i="13" s="1"/>
  <c r="E85" i="1" s="1"/>
  <c r="E25" i="1" l="1"/>
  <c r="E26" i="1"/>
  <c r="E47" i="1"/>
  <c r="G47" i="1" s="1"/>
  <c r="E48" i="1"/>
  <c r="G48" i="1" s="1"/>
  <c r="E86" i="1"/>
  <c r="E81" i="1"/>
  <c r="E84" i="1"/>
  <c r="F47" i="14"/>
  <c r="F47" i="13"/>
  <c r="F31" i="11" l="1"/>
  <c r="C31" i="11"/>
  <c r="C27" i="11"/>
  <c r="C28" i="11"/>
  <c r="C29" i="11"/>
  <c r="C25" i="11"/>
  <c r="C26" i="11"/>
  <c r="C38" i="11" l="1"/>
  <c r="E38" i="11" s="1"/>
  <c r="C37" i="11"/>
  <c r="E37" i="11" s="1"/>
  <c r="F29" i="11"/>
  <c r="F28" i="11"/>
  <c r="F27" i="11"/>
  <c r="F26" i="11"/>
  <c r="F25" i="11"/>
  <c r="E30" i="11" l="1"/>
  <c r="E33" i="11" s="1"/>
  <c r="E10" i="11"/>
  <c r="E42" i="11"/>
  <c r="F38" i="11"/>
  <c r="C30" i="11"/>
  <c r="E41" i="11"/>
  <c r="F37" i="11"/>
  <c r="E36" i="11"/>
  <c r="C36" i="11" s="1"/>
  <c r="F30" i="11" l="1"/>
  <c r="C42" i="11"/>
  <c r="F42" i="11"/>
  <c r="F41" i="11"/>
  <c r="E40" i="11"/>
  <c r="C40" i="11" s="1"/>
  <c r="C41" i="11"/>
  <c r="F33" i="11"/>
  <c r="C33" i="11"/>
  <c r="F36" i="11"/>
  <c r="F40" i="11" l="1"/>
  <c r="D52" i="9" l="1"/>
  <c r="E14" i="9" l="1"/>
  <c r="C40" i="9"/>
  <c r="C39" i="9"/>
  <c r="C38" i="9"/>
  <c r="C36" i="9"/>
  <c r="C35" i="9"/>
  <c r="C33" i="9"/>
  <c r="C32" i="9"/>
  <c r="C30" i="9"/>
  <c r="C29" i="9"/>
  <c r="D11" i="2"/>
  <c r="D36" i="2" l="1"/>
  <c r="D39" i="2"/>
  <c r="D35" i="2"/>
  <c r="D42" i="2"/>
  <c r="D38" i="2"/>
  <c r="L12" i="1"/>
  <c r="E16" i="9"/>
  <c r="N12" i="1" s="1"/>
  <c r="E36" i="9"/>
  <c r="F36" i="9" s="1"/>
  <c r="E34" i="9"/>
  <c r="F34" i="9" s="1"/>
  <c r="F78" i="9"/>
  <c r="F74" i="9"/>
  <c r="F48" i="9"/>
  <c r="F79" i="9"/>
  <c r="F75" i="9"/>
  <c r="F71" i="9"/>
  <c r="F49" i="9"/>
  <c r="F80" i="9"/>
  <c r="F76" i="9"/>
  <c r="F72" i="9"/>
  <c r="F50" i="9"/>
  <c r="F81" i="9"/>
  <c r="F77" i="9"/>
  <c r="F73" i="9"/>
  <c r="F51" i="9"/>
  <c r="F47" i="9"/>
  <c r="F52" i="9"/>
  <c r="E35" i="9"/>
  <c r="F35" i="9" s="1"/>
  <c r="E29" i="9"/>
  <c r="F29" i="9" s="1"/>
  <c r="E30" i="9"/>
  <c r="F30" i="9" s="1"/>
  <c r="E31" i="9"/>
  <c r="F31" i="9" s="1"/>
  <c r="E40" i="9"/>
  <c r="E39" i="9"/>
  <c r="E32" i="9"/>
  <c r="F32" i="9" s="1"/>
  <c r="E33" i="9"/>
  <c r="F33" i="9" s="1"/>
  <c r="E38" i="9"/>
  <c r="E82" i="2"/>
  <c r="E83" i="2"/>
  <c r="E73" i="2"/>
  <c r="E76" i="2"/>
  <c r="E77" i="2"/>
  <c r="E84" i="2"/>
  <c r="E79" i="2"/>
  <c r="E74" i="2"/>
  <c r="E81" i="2"/>
  <c r="E75" i="2"/>
  <c r="E48" i="2"/>
  <c r="F48" i="2" s="1"/>
  <c r="E78" i="2"/>
  <c r="E59" i="2"/>
  <c r="F59" i="2" s="1"/>
  <c r="E51" i="2"/>
  <c r="F51" i="2" s="1"/>
  <c r="E58" i="2"/>
  <c r="F58" i="2" s="1"/>
  <c r="E61" i="2"/>
  <c r="F61" i="2" s="1"/>
  <c r="E66" i="1" s="1"/>
  <c r="E64" i="2"/>
  <c r="E50" i="2"/>
  <c r="F50" i="2" s="1"/>
  <c r="E54" i="2"/>
  <c r="F54" i="2" s="1"/>
  <c r="E57" i="2"/>
  <c r="F57" i="2" s="1"/>
  <c r="E60" i="2"/>
  <c r="F60" i="2" s="1"/>
  <c r="E65" i="2"/>
  <c r="F65" i="2" s="1"/>
  <c r="E67" i="2"/>
  <c r="F67" i="2" s="1"/>
  <c r="E72" i="1" s="1"/>
  <c r="G72" i="1" s="1"/>
  <c r="E71" i="2"/>
  <c r="F71" i="2" s="1"/>
  <c r="E52" i="2"/>
  <c r="F52" i="2" s="1"/>
  <c r="E62" i="2"/>
  <c r="F62" i="2" s="1"/>
  <c r="E67" i="1" s="1"/>
  <c r="G67" i="1" s="1"/>
  <c r="E69" i="2"/>
  <c r="F69" i="2" s="1"/>
  <c r="E74" i="1" s="1"/>
  <c r="E55" i="2"/>
  <c r="F55" i="2" s="1"/>
  <c r="E68" i="2"/>
  <c r="F68" i="2" s="1"/>
  <c r="E73" i="1" s="1"/>
  <c r="G73" i="1" s="1"/>
  <c r="E49" i="2"/>
  <c r="F49" i="2" s="1"/>
  <c r="E53" i="2"/>
  <c r="F53" i="2" s="1"/>
  <c r="E56" i="2"/>
  <c r="F56" i="2" s="1"/>
  <c r="E80" i="2"/>
  <c r="E63" i="2"/>
  <c r="F63" i="2" s="1"/>
  <c r="E68" i="1" s="1"/>
  <c r="G68" i="1" s="1"/>
  <c r="E66" i="2"/>
  <c r="F66" i="2" s="1"/>
  <c r="E71" i="1" s="1"/>
  <c r="G71" i="1" s="1"/>
  <c r="E70" i="2"/>
  <c r="F70" i="2" s="1"/>
  <c r="E75" i="1" s="1"/>
  <c r="G75" i="1" s="1"/>
  <c r="G18" i="1" l="1"/>
  <c r="N35" i="1"/>
  <c r="G16" i="1"/>
  <c r="N33" i="1"/>
  <c r="G19" i="1"/>
  <c r="L36" i="1"/>
  <c r="N36" i="1" s="1"/>
  <c r="E76" i="1"/>
  <c r="G76" i="1" s="1"/>
  <c r="L40" i="1"/>
  <c r="O12" i="1"/>
  <c r="G79" i="1"/>
  <c r="E78" i="1"/>
  <c r="G78" i="1" s="1"/>
  <c r="G74" i="1"/>
  <c r="G80" i="1"/>
  <c r="G69" i="1"/>
  <c r="E70" i="1"/>
  <c r="G70" i="1" s="1"/>
  <c r="G66" i="1"/>
  <c r="E87" i="1"/>
  <c r="G87" i="1" s="1"/>
  <c r="G86" i="1"/>
  <c r="G85" i="1"/>
  <c r="E37" i="9"/>
  <c r="F37" i="9" s="1"/>
  <c r="E83" i="1"/>
  <c r="G83" i="1" s="1"/>
  <c r="G82" i="1"/>
  <c r="G81" i="1"/>
  <c r="G84" i="1"/>
  <c r="E72" i="2"/>
  <c r="G20" i="1" l="1"/>
  <c r="L37" i="1"/>
  <c r="N37" i="1" s="1"/>
  <c r="G17" i="1"/>
  <c r="N34" i="1"/>
  <c r="G15" i="1"/>
  <c r="L32" i="1"/>
  <c r="N32" i="1" s="1"/>
  <c r="F41" i="9"/>
  <c r="L41" i="1"/>
  <c r="F72" i="2"/>
  <c r="E77" i="1" s="1"/>
  <c r="G82" i="9"/>
  <c r="G77" i="1" l="1"/>
  <c r="E88" i="1"/>
  <c r="G88" i="1" s="1"/>
  <c r="F85" i="2"/>
  <c r="D29" i="2"/>
  <c r="G12" i="1" l="1"/>
  <c r="L29" i="1"/>
  <c r="N29" i="1" s="1"/>
  <c r="G14" i="1"/>
  <c r="L31" i="1"/>
  <c r="N31" i="1" s="1"/>
  <c r="G13" i="1"/>
  <c r="L30" i="1"/>
  <c r="N30" i="1" s="1"/>
  <c r="D43" i="2"/>
  <c r="C37" i="9"/>
  <c r="L39" i="1" l="1"/>
  <c r="G26" i="1"/>
  <c r="L43" i="1" l="1"/>
  <c r="N43" i="1" s="1"/>
  <c r="L42" i="1"/>
</calcChain>
</file>

<file path=xl/sharedStrings.xml><?xml version="1.0" encoding="utf-8"?>
<sst xmlns="http://schemas.openxmlformats.org/spreadsheetml/2006/main" count="1224" uniqueCount="527">
  <si>
    <t>No. of Engines</t>
  </si>
  <si>
    <t>Exhaust Gas Flow @100% Load</t>
  </si>
  <si>
    <t>Engine Output</t>
  </si>
  <si>
    <t>Annual Hours of Operation</t>
  </si>
  <si>
    <t>hrs</t>
  </si>
  <si>
    <t>NMHC (VOCs)</t>
  </si>
  <si>
    <t>CO</t>
  </si>
  <si>
    <t>Exhaust Gas Temperature</t>
  </si>
  <si>
    <t>Flare 1</t>
  </si>
  <si>
    <t>Flare</t>
  </si>
  <si>
    <t>scfm</t>
  </si>
  <si>
    <t>Heat Content of Digester Gas Upstream of Biogas Upgrade System (BUS)</t>
  </si>
  <si>
    <t>VOC</t>
  </si>
  <si>
    <t>Flare 2</t>
  </si>
  <si>
    <t>Flare 3</t>
  </si>
  <si>
    <t>--</t>
  </si>
  <si>
    <t>Hours of Operation</t>
  </si>
  <si>
    <t>lb/lb-mol</t>
  </si>
  <si>
    <r>
      <t>NO</t>
    </r>
    <r>
      <rPr>
        <vertAlign val="subscript"/>
        <sz val="10"/>
        <color theme="1"/>
        <rFont val="Calibri"/>
        <family val="2"/>
        <scheme val="minor"/>
      </rPr>
      <t>X</t>
    </r>
  </si>
  <si>
    <r>
      <t>SO</t>
    </r>
    <r>
      <rPr>
        <vertAlign val="subscript"/>
        <sz val="10"/>
        <color theme="1"/>
        <rFont val="Calibri"/>
        <family val="2"/>
        <scheme val="minor"/>
      </rPr>
      <t>2</t>
    </r>
  </si>
  <si>
    <r>
      <t>CO</t>
    </r>
    <r>
      <rPr>
        <vertAlign val="subscript"/>
        <sz val="10"/>
        <color theme="1"/>
        <rFont val="Calibri"/>
        <family val="2"/>
        <scheme val="minor"/>
      </rPr>
      <t>2</t>
    </r>
  </si>
  <si>
    <r>
      <t>SO</t>
    </r>
    <r>
      <rPr>
        <b/>
        <vertAlign val="subscript"/>
        <sz val="10"/>
        <color theme="0"/>
        <rFont val="Calibri"/>
        <family val="2"/>
        <scheme val="minor"/>
      </rPr>
      <t>2</t>
    </r>
  </si>
  <si>
    <r>
      <t>CO</t>
    </r>
    <r>
      <rPr>
        <b/>
        <vertAlign val="subscript"/>
        <sz val="10"/>
        <color theme="0"/>
        <rFont val="Calibri"/>
        <family val="2"/>
        <scheme val="minor"/>
      </rPr>
      <t>2</t>
    </r>
  </si>
  <si>
    <r>
      <t>CH</t>
    </r>
    <r>
      <rPr>
        <vertAlign val="subscript"/>
        <sz val="10"/>
        <color theme="1"/>
        <rFont val="Calibri"/>
        <family val="2"/>
        <scheme val="minor"/>
      </rPr>
      <t>4</t>
    </r>
  </si>
  <si>
    <r>
      <t>CH</t>
    </r>
    <r>
      <rPr>
        <b/>
        <vertAlign val="subscript"/>
        <sz val="10"/>
        <color theme="0"/>
        <rFont val="Calibri"/>
        <family val="2"/>
        <scheme val="minor"/>
      </rPr>
      <t>4</t>
    </r>
  </si>
  <si>
    <r>
      <t>g/hp-hr</t>
    </r>
    <r>
      <rPr>
        <vertAlign val="superscript"/>
        <sz val="10"/>
        <color theme="1"/>
        <rFont val="Calibri"/>
        <family val="2"/>
        <scheme val="minor"/>
      </rPr>
      <t>[1]</t>
    </r>
  </si>
  <si>
    <t>tpy</t>
  </si>
  <si>
    <t>Cummins 
Model C1100 N6C</t>
  </si>
  <si>
    <t>ppmvd</t>
  </si>
  <si>
    <r>
      <t>PM</t>
    </r>
    <r>
      <rPr>
        <vertAlign val="subscript"/>
        <sz val="10"/>
        <color theme="1"/>
        <rFont val="Calibri"/>
        <family val="2"/>
        <scheme val="minor"/>
      </rPr>
      <t>10(filterable)</t>
    </r>
  </si>
  <si>
    <r>
      <t>PM</t>
    </r>
    <r>
      <rPr>
        <vertAlign val="subscript"/>
        <sz val="10"/>
        <color theme="1"/>
        <rFont val="Calibri"/>
        <family val="2"/>
        <scheme val="minor"/>
      </rPr>
      <t>2.5(filterable)</t>
    </r>
  </si>
  <si>
    <r>
      <t>PM</t>
    </r>
    <r>
      <rPr>
        <vertAlign val="subscript"/>
        <sz val="10"/>
        <color theme="1"/>
        <rFont val="Calibri"/>
        <family val="2"/>
        <scheme val="minor"/>
      </rPr>
      <t>(condensible)</t>
    </r>
  </si>
  <si>
    <r>
      <t>PM</t>
    </r>
    <r>
      <rPr>
        <vertAlign val="subscript"/>
        <sz val="10"/>
        <color theme="1"/>
        <rFont val="Calibri"/>
        <family val="2"/>
        <scheme val="minor"/>
      </rPr>
      <t>10(Filterable+Condensible)</t>
    </r>
  </si>
  <si>
    <r>
      <t>PM</t>
    </r>
    <r>
      <rPr>
        <vertAlign val="subscript"/>
        <sz val="10"/>
        <color theme="1"/>
        <rFont val="Calibri"/>
        <family val="2"/>
        <scheme val="minor"/>
      </rPr>
      <t>2.5(Filterable+Condensible)</t>
    </r>
  </si>
  <si>
    <t>Heat Input (HHV)</t>
  </si>
  <si>
    <t>Pollutant</t>
  </si>
  <si>
    <t>(lb/mmscf)</t>
  </si>
  <si>
    <t>Notes</t>
  </si>
  <si>
    <t>(lb/hr)</t>
  </si>
  <si>
    <t>Benzene</t>
  </si>
  <si>
    <t>Formaldehyde</t>
  </si>
  <si>
    <t>Hexane</t>
  </si>
  <si>
    <t>Polycyclic Organic Matter</t>
  </si>
  <si>
    <t>Acenaphthene</t>
  </si>
  <si>
    <t>Acenaphthylene</t>
  </si>
  <si>
    <t>Benzo(b)fluoranthene</t>
  </si>
  <si>
    <t>Benzo(g,h,i)perylene</t>
  </si>
  <si>
    <t>Chrysene</t>
  </si>
  <si>
    <t>Fluoranthene</t>
  </si>
  <si>
    <t>Fluorene</t>
  </si>
  <si>
    <t>Pyrene</t>
  </si>
  <si>
    <t>Toluene</t>
  </si>
  <si>
    <t>Lead</t>
  </si>
  <si>
    <t>Total HAPs</t>
  </si>
  <si>
    <t>Emission Factors
PSD Pollutants</t>
  </si>
  <si>
    <t>1,1,2,2 Tetrachloroethane</t>
  </si>
  <si>
    <t>1,1,2 Trichloroethane</t>
  </si>
  <si>
    <t>1,3 Butadiene</t>
  </si>
  <si>
    <t>1,3 Dichloropropene</t>
  </si>
  <si>
    <t>2 Methylnaphthalene</t>
  </si>
  <si>
    <t>2,2,4 Trimethylpentane</t>
  </si>
  <si>
    <t>Acetaldehyde</t>
  </si>
  <si>
    <t>Acrolein</t>
  </si>
  <si>
    <t>Benzo(e)pyrene</t>
  </si>
  <si>
    <t>Biphenyl</t>
  </si>
  <si>
    <t>Carbon Tetrachloride</t>
  </si>
  <si>
    <t>Chlorobenzene</t>
  </si>
  <si>
    <t>Chloroform</t>
  </si>
  <si>
    <t>Ethylbenzene</t>
  </si>
  <si>
    <t>Ethylene Dibromide</t>
  </si>
  <si>
    <t>Methanol</t>
  </si>
  <si>
    <t>Methylene Chloride</t>
  </si>
  <si>
    <t>Napthalene</t>
  </si>
  <si>
    <t>Phenanthrene</t>
  </si>
  <si>
    <t>Phenol</t>
  </si>
  <si>
    <t>Styrene</t>
  </si>
  <si>
    <t>Vinyl Chloride</t>
  </si>
  <si>
    <t>Xylene</t>
  </si>
  <si>
    <t xml:space="preserve">Hazardous Air Pollutants 
(HAPS)
</t>
  </si>
  <si>
    <t>Tetrachloroethylene</t>
  </si>
  <si>
    <t>Basis:</t>
  </si>
  <si>
    <t>Number of Units</t>
  </si>
  <si>
    <t>Fuel</t>
  </si>
  <si>
    <t>Natural Gas</t>
  </si>
  <si>
    <t>Heat Input</t>
  </si>
  <si>
    <r>
      <t xml:space="preserve">mmBtu/hr </t>
    </r>
    <r>
      <rPr>
        <vertAlign val="superscript"/>
        <sz val="10"/>
        <rFont val="Calibri"/>
        <family val="2"/>
      </rPr>
      <t>[1]</t>
    </r>
  </si>
  <si>
    <t>Heating Value of Fuel</t>
  </si>
  <si>
    <r>
      <t xml:space="preserve">Btu/scf </t>
    </r>
    <r>
      <rPr>
        <vertAlign val="superscript"/>
        <sz val="10"/>
        <rFont val="Calibri"/>
        <family val="2"/>
      </rPr>
      <t>[2]</t>
    </r>
  </si>
  <si>
    <t>Fuel Burn Rate</t>
  </si>
  <si>
    <t>hours per year</t>
  </si>
  <si>
    <r>
      <t>SO</t>
    </r>
    <r>
      <rPr>
        <vertAlign val="subscript"/>
        <sz val="10"/>
        <rFont val="Calibri"/>
        <family val="2"/>
      </rPr>
      <t>2</t>
    </r>
    <r>
      <rPr>
        <sz val="10"/>
        <rFont val="Calibri"/>
        <family val="2"/>
      </rPr>
      <t xml:space="preserve"> to SO</t>
    </r>
    <r>
      <rPr>
        <vertAlign val="subscript"/>
        <sz val="10"/>
        <rFont val="Calibri"/>
        <family val="2"/>
      </rPr>
      <t>3</t>
    </r>
    <r>
      <rPr>
        <sz val="10"/>
        <rFont val="Calibri"/>
        <family val="2"/>
      </rPr>
      <t xml:space="preserve"> Conversion Rate</t>
    </r>
  </si>
  <si>
    <t>% by volume (assumed)</t>
  </si>
  <si>
    <r>
      <t xml:space="preserve">Global Warming Potentials </t>
    </r>
    <r>
      <rPr>
        <vertAlign val="superscript"/>
        <sz val="10"/>
        <rFont val="Calibri"/>
        <family val="2"/>
      </rPr>
      <t>[3]</t>
    </r>
  </si>
  <si>
    <r>
      <t>CO</t>
    </r>
    <r>
      <rPr>
        <vertAlign val="subscript"/>
        <sz val="10"/>
        <rFont val="Calibri"/>
        <family val="2"/>
      </rPr>
      <t>2</t>
    </r>
  </si>
  <si>
    <r>
      <t>CH</t>
    </r>
    <r>
      <rPr>
        <vertAlign val="subscript"/>
        <sz val="10"/>
        <rFont val="Calibri"/>
        <family val="2"/>
      </rPr>
      <t>4</t>
    </r>
  </si>
  <si>
    <r>
      <t>N</t>
    </r>
    <r>
      <rPr>
        <vertAlign val="subscript"/>
        <sz val="10"/>
        <rFont val="Calibri"/>
        <family val="2"/>
      </rPr>
      <t>2</t>
    </r>
    <r>
      <rPr>
        <sz val="10"/>
        <rFont val="Calibri"/>
        <family val="2"/>
      </rPr>
      <t>O</t>
    </r>
  </si>
  <si>
    <t>Mass Emission Rate</t>
  </si>
  <si>
    <r>
      <t>NO</t>
    </r>
    <r>
      <rPr>
        <vertAlign val="subscript"/>
        <sz val="10"/>
        <rFont val="Calibri"/>
        <family val="2"/>
        <scheme val="minor"/>
      </rPr>
      <t>X</t>
    </r>
  </si>
  <si>
    <t>PM</t>
  </si>
  <si>
    <r>
      <t>PM</t>
    </r>
    <r>
      <rPr>
        <vertAlign val="subscript"/>
        <sz val="10"/>
        <rFont val="Calibri"/>
        <family val="2"/>
      </rPr>
      <t>10</t>
    </r>
  </si>
  <si>
    <r>
      <t>PM</t>
    </r>
    <r>
      <rPr>
        <vertAlign val="subscript"/>
        <sz val="10"/>
        <rFont val="Calibri"/>
        <family val="2"/>
      </rPr>
      <t>2.5</t>
    </r>
  </si>
  <si>
    <r>
      <t>SO</t>
    </r>
    <r>
      <rPr>
        <vertAlign val="subscript"/>
        <sz val="10"/>
        <rFont val="Calibri"/>
        <family val="2"/>
      </rPr>
      <t>2</t>
    </r>
  </si>
  <si>
    <t>[9]</t>
  </si>
  <si>
    <r>
      <t>H</t>
    </r>
    <r>
      <rPr>
        <vertAlign val="subscript"/>
        <sz val="10"/>
        <rFont val="Calibri"/>
        <family val="2"/>
      </rPr>
      <t>2</t>
    </r>
    <r>
      <rPr>
        <sz val="10"/>
        <rFont val="Calibri"/>
        <family val="2"/>
      </rPr>
      <t>SO</t>
    </r>
    <r>
      <rPr>
        <vertAlign val="subscript"/>
        <sz val="10"/>
        <rFont val="Calibri"/>
        <family val="2"/>
      </rPr>
      <t>4</t>
    </r>
  </si>
  <si>
    <t>[10]</t>
  </si>
  <si>
    <t>[11]</t>
  </si>
  <si>
    <r>
      <t>CO</t>
    </r>
    <r>
      <rPr>
        <vertAlign val="subscript"/>
        <sz val="8"/>
        <rFont val="Calibri"/>
        <family val="2"/>
      </rPr>
      <t>2</t>
    </r>
  </si>
  <si>
    <r>
      <t>CH</t>
    </r>
    <r>
      <rPr>
        <vertAlign val="subscript"/>
        <sz val="8"/>
        <rFont val="Calibri"/>
        <family val="2"/>
      </rPr>
      <t>4</t>
    </r>
  </si>
  <si>
    <r>
      <t>N</t>
    </r>
    <r>
      <rPr>
        <vertAlign val="subscript"/>
        <sz val="8"/>
        <rFont val="Calibri"/>
        <family val="2"/>
      </rPr>
      <t>2</t>
    </r>
    <r>
      <rPr>
        <sz val="8"/>
        <rFont val="Calibri"/>
        <family val="2"/>
      </rPr>
      <t>O</t>
    </r>
  </si>
  <si>
    <t>GHG-CO2e</t>
  </si>
  <si>
    <t xml:space="preserve">Notes [ ]: </t>
  </si>
  <si>
    <t>1.  Based on preliminary vendor data.</t>
  </si>
  <si>
    <r>
      <t>3.  CO</t>
    </r>
    <r>
      <rPr>
        <vertAlign val="subscript"/>
        <sz val="10"/>
        <rFont val="Calibri"/>
        <family val="2"/>
      </rPr>
      <t>2</t>
    </r>
    <r>
      <rPr>
        <sz val="10"/>
        <rFont val="Calibri"/>
        <family val="2"/>
      </rPr>
      <t xml:space="preserve"> equivalents (CO</t>
    </r>
    <r>
      <rPr>
        <vertAlign val="subscript"/>
        <sz val="10"/>
        <rFont val="Calibri"/>
        <family val="2"/>
      </rPr>
      <t>2</t>
    </r>
    <r>
      <rPr>
        <sz val="10"/>
        <rFont val="Calibri"/>
        <family val="2"/>
      </rPr>
      <t>e) based on the global warming potential for applicable pollutant as listed in</t>
    </r>
  </si>
  <si>
    <t xml:space="preserve">     Table A-1 to Subpart A of 40 CFR Part 98 - Global Warming Potentials.</t>
  </si>
  <si>
    <t>4.  Emission factor obtained from AP-42 (Reference 1a); for a small boiler (&lt;100 mmBtu/hr), uncontrolled.</t>
  </si>
  <si>
    <t>6.  Emission factor obtained from AP-42 (Reference 1b).</t>
  </si>
  <si>
    <t>7.  USEPA issued a final rule (Reference 2) which removed a requirement in the definition of "regulated NSR</t>
  </si>
  <si>
    <t xml:space="preserve">     pollutant" to include condensable PM when measuring one of the emissions-related indicators for particulate</t>
  </si>
  <si>
    <t xml:space="preserve">     matter known as "particulate matter emissions" in the context of the PSD and NSR regulations; therefore,</t>
  </si>
  <si>
    <t>8.  Based on information provided in AP-42 (Reference 1), all particulate matter (filterable and condensable) is</t>
  </si>
  <si>
    <t xml:space="preserve">     assumed to be less than 1.0 micrometer in diameter.</t>
  </si>
  <si>
    <r>
      <t>9.  Assumed all sulfur in the fuel is converted to SO</t>
    </r>
    <r>
      <rPr>
        <vertAlign val="subscript"/>
        <sz val="10"/>
        <rFont val="Calibri"/>
        <family val="2"/>
        <scheme val="minor"/>
      </rPr>
      <t>2</t>
    </r>
    <r>
      <rPr>
        <sz val="10"/>
        <rFont val="Calibri"/>
        <family val="2"/>
        <scheme val="minor"/>
      </rPr>
      <t>.</t>
    </r>
  </si>
  <si>
    <t>11.  The GHG emissions is the sum of all applicable GHG pollutants.</t>
  </si>
  <si>
    <t xml:space="preserve">References: </t>
  </si>
  <si>
    <t>1.  USEPA, AP-42, Fifth Edition, Vol. I.  Chapter 1 "External Combustion Sources", Section 1.4 "Natural Gas</t>
  </si>
  <si>
    <t xml:space="preserve">     Combustion".  July 1998.</t>
  </si>
  <si>
    <t>a.</t>
  </si>
  <si>
    <r>
      <t>Table 1.4-1 "Emission Factors for Nitrogen Oxides (NO</t>
    </r>
    <r>
      <rPr>
        <vertAlign val="subscript"/>
        <sz val="10"/>
        <rFont val="Calibri"/>
        <family val="2"/>
      </rPr>
      <t>X</t>
    </r>
    <r>
      <rPr>
        <sz val="10"/>
        <rFont val="Calibri"/>
        <family val="2"/>
      </rPr>
      <t>) and Carbon Monoxide (CO) from</t>
    </r>
  </si>
  <si>
    <t>Natural Gas Combustion".</t>
  </si>
  <si>
    <t>b.</t>
  </si>
  <si>
    <t>Table 1.4-2 "Emission Factors for Criteria Pollutants and Greenhouse Gases from Natural</t>
  </si>
  <si>
    <t>Gas Combustion".</t>
  </si>
  <si>
    <t>2.  “Implementation of the New Source Review (NSR) Program for Particulate Matter Less Than 2.5</t>
  </si>
  <si>
    <r>
      <t xml:space="preserve">     Micrometers (PM</t>
    </r>
    <r>
      <rPr>
        <vertAlign val="subscript"/>
        <sz val="10"/>
        <rFont val="Calibri"/>
        <family val="2"/>
      </rPr>
      <t>2.5</t>
    </r>
    <r>
      <rPr>
        <sz val="10"/>
        <rFont val="Calibri"/>
        <family val="2"/>
      </rPr>
      <t>):  Amendment to the Definition of "Regulated NSR Pollutant" Concerning</t>
    </r>
  </si>
  <si>
    <t xml:space="preserve">     Condensable Particulate Matter”, 77 Federal Register 207 (25 October 2012), pp. 65107 - 65119.</t>
  </si>
  <si>
    <t>%</t>
  </si>
  <si>
    <r>
      <t>SO</t>
    </r>
    <r>
      <rPr>
        <vertAlign val="subscript"/>
        <sz val="10"/>
        <color theme="1"/>
        <rFont val="Calibri"/>
        <family val="2"/>
        <scheme val="minor"/>
      </rPr>
      <t>2</t>
    </r>
    <r>
      <rPr>
        <sz val="10"/>
        <color theme="1"/>
        <rFont val="Calibri"/>
        <family val="2"/>
        <scheme val="minor"/>
      </rPr>
      <t xml:space="preserve"> to SO</t>
    </r>
    <r>
      <rPr>
        <vertAlign val="subscript"/>
        <sz val="10"/>
        <color theme="1"/>
        <rFont val="Calibri"/>
        <family val="2"/>
        <scheme val="minor"/>
      </rPr>
      <t>3</t>
    </r>
    <r>
      <rPr>
        <sz val="10"/>
        <color theme="1"/>
        <rFont val="Calibri"/>
        <family val="2"/>
        <scheme val="minor"/>
      </rPr>
      <t xml:space="preserve"> Conversion Rate (assumed)</t>
    </r>
  </si>
  <si>
    <r>
      <t>Molecular Weight of SO</t>
    </r>
    <r>
      <rPr>
        <vertAlign val="subscript"/>
        <sz val="10"/>
        <color theme="1"/>
        <rFont val="Calibri"/>
        <family val="2"/>
        <scheme val="minor"/>
      </rPr>
      <t>2</t>
    </r>
  </si>
  <si>
    <t>Annual Emissions When Both Units Operating 8760 hrs (tpy)</t>
  </si>
  <si>
    <t>CAS</t>
  </si>
  <si>
    <t>Mass Emission Rate (per unit)</t>
  </si>
  <si>
    <t>PTE</t>
  </si>
  <si>
    <t>Number</t>
  </si>
  <si>
    <t>(tpy)</t>
  </si>
  <si>
    <t>71-43-2</t>
  </si>
  <si>
    <t>25321-22-6</t>
  </si>
  <si>
    <t>Dichlorobenzene</t>
  </si>
  <si>
    <t>50-00-0</t>
  </si>
  <si>
    <t>110-54-3</t>
  </si>
  <si>
    <t>91-20-3</t>
  </si>
  <si>
    <t>Naphthalene</t>
  </si>
  <si>
    <t>91-57-6</t>
  </si>
  <si>
    <t>2-Methylnaphthalene</t>
  </si>
  <si>
    <t>56-49-5</t>
  </si>
  <si>
    <t>3-Methylchloranthrene</t>
  </si>
  <si>
    <t>57-97-6</t>
  </si>
  <si>
    <t>7,12-Dimethylbenz(a)anthracene</t>
  </si>
  <si>
    <t>83-32-9</t>
  </si>
  <si>
    <t>203-96-8</t>
  </si>
  <si>
    <t>120-12-7</t>
  </si>
  <si>
    <t>Anthracene</t>
  </si>
  <si>
    <t>56-55-3</t>
  </si>
  <si>
    <t>Benz(a)anthracene</t>
  </si>
  <si>
    <t>50-32-8</t>
  </si>
  <si>
    <t>Benzo(a)pyrene</t>
  </si>
  <si>
    <t>205-99-2</t>
  </si>
  <si>
    <t>191-24-2</t>
  </si>
  <si>
    <t>205-82-3</t>
  </si>
  <si>
    <t>Benzo(k)fluoranthene</t>
  </si>
  <si>
    <t>218-01-9</t>
  </si>
  <si>
    <t>53-70-3</t>
  </si>
  <si>
    <t>Dibenzo(a,h)anthracene</t>
  </si>
  <si>
    <t>206-44-0</t>
  </si>
  <si>
    <t>86-73-7</t>
  </si>
  <si>
    <t>193-39-5</t>
  </si>
  <si>
    <t>Indeno(1,2,3-cd)pyrene</t>
  </si>
  <si>
    <t>85-01-8</t>
  </si>
  <si>
    <t>Phenanathrene</t>
  </si>
  <si>
    <t>129-00-0</t>
  </si>
  <si>
    <t>108-88-3</t>
  </si>
  <si>
    <t>[6]</t>
  </si>
  <si>
    <t>[7]</t>
  </si>
  <si>
    <t>Arsenic</t>
  </si>
  <si>
    <t>[8]</t>
  </si>
  <si>
    <t>Beryllium</t>
  </si>
  <si>
    <t>Cadmium</t>
  </si>
  <si>
    <t>Chromium</t>
  </si>
  <si>
    <t>Cobalt</t>
  </si>
  <si>
    <t>Manganese</t>
  </si>
  <si>
    <t>Mercury</t>
  </si>
  <si>
    <t>Nickel</t>
  </si>
  <si>
    <t>Selenium</t>
  </si>
  <si>
    <t>5.  Pollutant is assumed to be a POM.</t>
  </si>
  <si>
    <t>Table 1.4-3 "Emission Factors for Speciated Organic Compounds from Natural</t>
  </si>
  <si>
    <t>c.</t>
  </si>
  <si>
    <t>Table 1.4-4 "Emission Factors for Metals from Natural Gas Combustion".</t>
  </si>
  <si>
    <t>St. Petersburg - SW WRF</t>
  </si>
  <si>
    <r>
      <t>Molecular Weight of H</t>
    </r>
    <r>
      <rPr>
        <vertAlign val="subscript"/>
        <sz val="10"/>
        <color theme="1"/>
        <rFont val="Calibri"/>
        <family val="2"/>
        <scheme val="minor"/>
      </rPr>
      <t>2</t>
    </r>
    <r>
      <rPr>
        <sz val="10"/>
        <color theme="1"/>
        <rFont val="Calibri"/>
        <family val="2"/>
        <scheme val="minor"/>
      </rPr>
      <t>SO</t>
    </r>
    <r>
      <rPr>
        <vertAlign val="subscript"/>
        <sz val="10"/>
        <color theme="1"/>
        <rFont val="Calibri"/>
        <family val="2"/>
        <scheme val="minor"/>
      </rPr>
      <t>4</t>
    </r>
  </si>
  <si>
    <t>Annual Potential Emissions</t>
  </si>
  <si>
    <t>Diesel Fuel Oil</t>
  </si>
  <si>
    <t>Power Rating</t>
  </si>
  <si>
    <t>mmBtu/hr</t>
  </si>
  <si>
    <r>
      <t xml:space="preserve">Btu/gal </t>
    </r>
    <r>
      <rPr>
        <vertAlign val="superscript"/>
        <sz val="10"/>
        <rFont val="Calibri"/>
        <family val="2"/>
      </rPr>
      <t>[2]</t>
    </r>
  </si>
  <si>
    <r>
      <t xml:space="preserve">gal/hr </t>
    </r>
    <r>
      <rPr>
        <vertAlign val="superscript"/>
        <sz val="10"/>
        <rFont val="Calibri"/>
        <family val="2"/>
      </rPr>
      <t>[1]</t>
    </r>
  </si>
  <si>
    <t>Density of Fuel</t>
  </si>
  <si>
    <r>
      <t xml:space="preserve">lb/gal </t>
    </r>
    <r>
      <rPr>
        <vertAlign val="superscript"/>
        <sz val="10"/>
        <rFont val="Calibri"/>
        <family val="2"/>
      </rPr>
      <t>[2]</t>
    </r>
  </si>
  <si>
    <t>Sulfur Content of Fuel</t>
  </si>
  <si>
    <r>
      <t xml:space="preserve">% </t>
    </r>
    <r>
      <rPr>
        <vertAlign val="superscript"/>
        <sz val="10"/>
        <rFont val="Calibri"/>
        <family val="2"/>
      </rPr>
      <t>[3]</t>
    </r>
  </si>
  <si>
    <r>
      <t xml:space="preserve">Global Warming Potentials </t>
    </r>
    <r>
      <rPr>
        <vertAlign val="superscript"/>
        <sz val="10"/>
        <rFont val="Calibri"/>
        <family val="2"/>
      </rPr>
      <t>[4]</t>
    </r>
  </si>
  <si>
    <t>g/hp-hr</t>
  </si>
  <si>
    <t>[5]</t>
  </si>
  <si>
    <t>Fluorides</t>
  </si>
  <si>
    <r>
      <t>TRS (including H</t>
    </r>
    <r>
      <rPr>
        <vertAlign val="subscript"/>
        <sz val="10"/>
        <rFont val="Calibri"/>
        <family val="2"/>
      </rPr>
      <t>2</t>
    </r>
    <r>
      <rPr>
        <sz val="10"/>
        <rFont val="Calibri"/>
        <family val="2"/>
      </rPr>
      <t>S)</t>
    </r>
  </si>
  <si>
    <t>GHG-Mass</t>
  </si>
  <si>
    <t>[4]</t>
  </si>
  <si>
    <t>2.  Based on distillate oil characteristics listed in Reference 2.</t>
  </si>
  <si>
    <r>
      <t>4.  CO</t>
    </r>
    <r>
      <rPr>
        <vertAlign val="subscript"/>
        <sz val="10"/>
        <rFont val="Calibri"/>
        <family val="2"/>
      </rPr>
      <t>2</t>
    </r>
    <r>
      <rPr>
        <sz val="10"/>
        <rFont val="Calibri"/>
        <family val="2"/>
      </rPr>
      <t xml:space="preserve"> equivalents (CO</t>
    </r>
    <r>
      <rPr>
        <vertAlign val="subscript"/>
        <sz val="10"/>
        <rFont val="Calibri"/>
        <family val="2"/>
      </rPr>
      <t>2</t>
    </r>
    <r>
      <rPr>
        <sz val="10"/>
        <rFont val="Calibri"/>
        <family val="2"/>
      </rPr>
      <t>e) based on the global warming potential for applicable pollutant as listed in</t>
    </r>
  </si>
  <si>
    <t>5.  Conservatively assumed all particulate matter emissions are less than 2.5 micrometers in diameter.</t>
  </si>
  <si>
    <r>
      <t>6.  Assumed all sulfur in the fuel is converted to SO</t>
    </r>
    <r>
      <rPr>
        <vertAlign val="subscript"/>
        <sz val="10"/>
        <rFont val="Calibri"/>
        <family val="2"/>
        <scheme val="minor"/>
      </rPr>
      <t>2</t>
    </r>
    <r>
      <rPr>
        <sz val="10"/>
        <rFont val="Calibri"/>
        <family val="2"/>
        <scheme val="minor"/>
      </rPr>
      <t>.</t>
    </r>
  </si>
  <si>
    <r>
      <t>7.  Assumed 100% conversion of SO</t>
    </r>
    <r>
      <rPr>
        <vertAlign val="subscript"/>
        <sz val="10"/>
        <rFont val="Calibri"/>
        <family val="2"/>
      </rPr>
      <t>2</t>
    </r>
    <r>
      <rPr>
        <sz val="10"/>
        <rFont val="Calibri"/>
        <family val="2"/>
      </rPr>
      <t xml:space="preserve"> to H</t>
    </r>
    <r>
      <rPr>
        <vertAlign val="subscript"/>
        <sz val="10"/>
        <rFont val="Calibri"/>
        <family val="2"/>
      </rPr>
      <t>2</t>
    </r>
    <r>
      <rPr>
        <sz val="10"/>
        <rFont val="Calibri"/>
        <family val="2"/>
      </rPr>
      <t>SO</t>
    </r>
    <r>
      <rPr>
        <vertAlign val="subscript"/>
        <sz val="10"/>
        <rFont val="Calibri"/>
        <family val="2"/>
      </rPr>
      <t>4</t>
    </r>
    <r>
      <rPr>
        <sz val="10"/>
        <rFont val="Calibri"/>
        <family val="2"/>
      </rPr>
      <t>.</t>
    </r>
  </si>
  <si>
    <r>
      <t>8.  Greenhouse gases (CO</t>
    </r>
    <r>
      <rPr>
        <vertAlign val="subscript"/>
        <sz val="10"/>
        <rFont val="Calibri"/>
        <family val="2"/>
      </rPr>
      <t>2</t>
    </r>
    <r>
      <rPr>
        <sz val="10"/>
        <rFont val="Calibri"/>
        <family val="2"/>
      </rPr>
      <t xml:space="preserve"> and CH</t>
    </r>
    <r>
      <rPr>
        <vertAlign val="subscript"/>
        <sz val="10"/>
        <rFont val="Calibri"/>
        <family val="2"/>
      </rPr>
      <t>4</t>
    </r>
    <r>
      <rPr>
        <sz val="10"/>
        <rFont val="Calibri"/>
        <family val="2"/>
      </rPr>
      <t>) emission factors obtained from AP-42 (Reference 1a), for a large stationary</t>
    </r>
  </si>
  <si>
    <t xml:space="preserve">     diesel engine (2-02-004-01).</t>
  </si>
  <si>
    <t>9.  The GHG emissions is the sum of all applicable GHG pollutants.</t>
  </si>
  <si>
    <t>1.  USEPA, AP-42, Fifth Edition, Vol. I.  Chapter 3 "Stationary Internal Combustion Sources", Section 3.4 "Large</t>
  </si>
  <si>
    <t xml:space="preserve">     Stationary Diesel and All Stationary Duel-Fuel Engines".  October 1996.</t>
  </si>
  <si>
    <t>Table 3.4-1 "Gaseous Emission Factors for Large Stationary Diesel and All Stationary</t>
  </si>
  <si>
    <t>Duel-Fuel Engines".</t>
  </si>
  <si>
    <t>2.  USEPA, AP-42, Fifth Edition, Vol. I.  Appendix A "Miscellaneous Data &amp; Conversion Factors".  September 1985.</t>
  </si>
  <si>
    <r>
      <t xml:space="preserve">Composition </t>
    </r>
    <r>
      <rPr>
        <b/>
        <vertAlign val="superscript"/>
        <sz val="10"/>
        <color theme="0"/>
        <rFont val="Calibri"/>
        <family val="2"/>
      </rPr>
      <t>[3]</t>
    </r>
  </si>
  <si>
    <t>(%wt)</t>
  </si>
  <si>
    <t>(lb/mmBtu)</t>
  </si>
  <si>
    <t>Xylenes</t>
  </si>
  <si>
    <t>PAH</t>
  </si>
  <si>
    <t>[6, 7]</t>
  </si>
  <si>
    <t>3.  Based on data provided by USEPA (Reference 3a) for No. 2 fuel oil/diesel fuel.</t>
  </si>
  <si>
    <t>4.  Emission factor obtained from AP-42 (Reference 1a).</t>
  </si>
  <si>
    <t>5.  Emission factor obtained from AP-42 (Reference 1b).</t>
  </si>
  <si>
    <t>6.  Conservatively assumed all metal in the fuel oil is emitted into the atmosphere.</t>
  </si>
  <si>
    <t>7.  Emission factor based on the metal composition in the fuel.  See Table C47 of this Appendix for details.</t>
  </si>
  <si>
    <t>Table 3.4-3 "Speciated Organic Compound Emission Factors for Large Uncontrolled</t>
  </si>
  <si>
    <t>Stationary Diesel Engines".</t>
  </si>
  <si>
    <t>Table 3.4-4 "PAH Emission Factors for Large Uncontrolled Stationary Diesel Engines".</t>
  </si>
  <si>
    <t>2.  USEPA, AP-42, Fifth Edition, Vol. I.  Appendix A "Miscellaneous Data &amp; Conversion Factors".</t>
  </si>
  <si>
    <t xml:space="preserve">     September 1985.</t>
  </si>
  <si>
    <t>3.  USEPA, EPCRA Section 313:  Industry Guidance:  Electricity Generating Facilities.  EPA-745-B-00-004.</t>
  </si>
  <si>
    <t xml:space="preserve">     February 2000.</t>
  </si>
  <si>
    <t>Table 3-4 "Estimated Concentration Values of EPCRA Section 313 Constituents in Crude</t>
  </si>
  <si>
    <t>Oil and Petroleum Products (Weight Percent)".</t>
  </si>
  <si>
    <t xml:space="preserve">Annual Emissions of PSD Pollutants with Both Engines Operating
</t>
  </si>
  <si>
    <t>Fuel consumed by each unit operating 8760 hours per year</t>
  </si>
  <si>
    <t>Combined fuel consumed by both units operating 8760 hours per year</t>
  </si>
  <si>
    <t>mmscf/yr</t>
  </si>
  <si>
    <t>Potential to Emit - Flares</t>
  </si>
  <si>
    <t xml:space="preserve">Flare 1 -  Enclosed Flare to Combust Excess Gas from Digesters 1 &amp; 2 
</t>
  </si>
  <si>
    <t>Flare 2 - Candlestick Flare to Combust Excess Gas from Digester 3 
(16-inch pressure zone)</t>
  </si>
  <si>
    <t xml:space="preserve">Flare 3 - Thermal Oxidizer to Combust Waste Gas From BUS 
</t>
  </si>
  <si>
    <t xml:space="preserve">Flare 4 - Candlestick Startup Flare Combusting BUS Product Gas 
</t>
  </si>
  <si>
    <t>Emissions Factors</t>
  </si>
  <si>
    <t>CO (lb/MBtu)</t>
  </si>
  <si>
    <t>VOC (lb/MBtu)</t>
  </si>
  <si>
    <t>Heat Content of BUS Waste Gas</t>
  </si>
  <si>
    <t>Heat Content of BUS Product Gas</t>
  </si>
  <si>
    <t>Flare 1 Gas Throughput</t>
  </si>
  <si>
    <t>Flare 2 Gas Throughput</t>
  </si>
  <si>
    <t>Flare 3 Gas Throughput</t>
  </si>
  <si>
    <t>Flare 4 Gas Throughput</t>
  </si>
  <si>
    <t>Flare 4</t>
  </si>
  <si>
    <t>Annual Emissions (tpy) of PSD Pollutants from Flaring of Gas</t>
  </si>
  <si>
    <t>Flare 1 Pilot Gas Throughput</t>
  </si>
  <si>
    <t>Flare 2 Pilot Gas Throughput</t>
  </si>
  <si>
    <t>Flare 3 Pilot Gas Throughput</t>
  </si>
  <si>
    <t>Flare 4 Pilot Gas Throughput</t>
  </si>
  <si>
    <t>Heat Content of Pilot Fuel Gas</t>
  </si>
  <si>
    <r>
      <t>Annual Emissions (tpy) of PSD Pollutants from Flare Pilots</t>
    </r>
    <r>
      <rPr>
        <b/>
        <vertAlign val="superscript"/>
        <sz val="10"/>
        <color theme="0"/>
        <rFont val="Calibri"/>
        <family val="2"/>
        <scheme val="minor"/>
      </rPr>
      <t>[2]</t>
    </r>
  </si>
  <si>
    <r>
      <t>Flare 1</t>
    </r>
    <r>
      <rPr>
        <b/>
        <vertAlign val="superscript"/>
        <sz val="10"/>
        <color theme="0"/>
        <rFont val="Calibri"/>
        <family val="2"/>
        <scheme val="minor"/>
      </rPr>
      <t xml:space="preserve"> [1]</t>
    </r>
  </si>
  <si>
    <r>
      <t>Flare 3</t>
    </r>
    <r>
      <rPr>
        <b/>
        <vertAlign val="superscript"/>
        <sz val="10"/>
        <color theme="0"/>
        <rFont val="Calibri"/>
        <family val="2"/>
        <scheme val="minor"/>
      </rPr>
      <t>[1]</t>
    </r>
  </si>
  <si>
    <r>
      <t>Flares 2 &amp; 4</t>
    </r>
    <r>
      <rPr>
        <b/>
        <vertAlign val="superscript"/>
        <sz val="10"/>
        <color theme="0"/>
        <rFont val="Calibri"/>
        <family val="2"/>
        <scheme val="minor"/>
      </rPr>
      <t>[2]</t>
    </r>
  </si>
  <si>
    <t>Total Annual Emissions (tpy) of PSD Pollutants from Flaring of Gas &amp; Pilot Emissions</t>
  </si>
  <si>
    <t>Temperature of Digester Gas</t>
  </si>
  <si>
    <t>Temperature of BUS Product Gas</t>
  </si>
  <si>
    <r>
      <t xml:space="preserve"> H</t>
    </r>
    <r>
      <rPr>
        <b/>
        <vertAlign val="subscript"/>
        <sz val="10"/>
        <color theme="0"/>
        <rFont val="Calibri"/>
        <family val="2"/>
        <scheme val="minor"/>
      </rPr>
      <t>2</t>
    </r>
    <r>
      <rPr>
        <b/>
        <sz val="10"/>
        <color theme="0"/>
        <rFont val="Calibri"/>
        <family val="2"/>
        <scheme val="minor"/>
      </rPr>
      <t>S Emissions</t>
    </r>
  </si>
  <si>
    <r>
      <t>ppmvd</t>
    </r>
    <r>
      <rPr>
        <vertAlign val="superscript"/>
        <sz val="10"/>
        <color theme="1"/>
        <rFont val="Calibri"/>
        <family val="2"/>
        <scheme val="minor"/>
      </rPr>
      <t>[1]</t>
    </r>
  </si>
  <si>
    <r>
      <t>Molecular Weight of H</t>
    </r>
    <r>
      <rPr>
        <vertAlign val="subscript"/>
        <sz val="10"/>
        <color theme="1"/>
        <rFont val="Calibri"/>
        <family val="2"/>
        <scheme val="minor"/>
      </rPr>
      <t>2</t>
    </r>
    <r>
      <rPr>
        <sz val="10"/>
        <color theme="1"/>
        <rFont val="Calibri"/>
        <family val="2"/>
        <scheme val="minor"/>
      </rPr>
      <t>S</t>
    </r>
  </si>
  <si>
    <t>Assumes Continuous Annual Operation</t>
  </si>
  <si>
    <t>hours</t>
  </si>
  <si>
    <t>Total</t>
  </si>
  <si>
    <t>Notes: [ ]:</t>
  </si>
  <si>
    <r>
      <t>NO</t>
    </r>
    <r>
      <rPr>
        <vertAlign val="subscript"/>
        <sz val="10"/>
        <color theme="1"/>
        <rFont val="Calibri"/>
        <family val="2"/>
        <scheme val="minor"/>
      </rPr>
      <t>X</t>
    </r>
    <r>
      <rPr>
        <sz val="10"/>
        <color theme="1"/>
        <rFont val="Calibri"/>
        <family val="2"/>
        <scheme val="minor"/>
      </rPr>
      <t xml:space="preserve"> (lb/MBtu)</t>
    </r>
  </si>
  <si>
    <r>
      <t>H</t>
    </r>
    <r>
      <rPr>
        <vertAlign val="subscript"/>
        <sz val="10"/>
        <color theme="1"/>
        <rFont val="Calibri"/>
        <family val="2"/>
        <scheme val="minor"/>
      </rPr>
      <t>2</t>
    </r>
    <r>
      <rPr>
        <sz val="10"/>
        <color theme="1"/>
        <rFont val="Calibri"/>
        <family val="2"/>
        <scheme val="minor"/>
      </rPr>
      <t>S Concentration in Digester Gas Upstream of Biogas Upgrade System (BUS)</t>
    </r>
  </si>
  <si>
    <r>
      <t>H</t>
    </r>
    <r>
      <rPr>
        <vertAlign val="subscript"/>
        <sz val="10"/>
        <color theme="1"/>
        <rFont val="Calibri"/>
        <family val="2"/>
        <scheme val="minor"/>
      </rPr>
      <t>2</t>
    </r>
    <r>
      <rPr>
        <sz val="10"/>
        <color theme="1"/>
        <rFont val="Calibri"/>
        <family val="2"/>
        <scheme val="minor"/>
      </rPr>
      <t>S Concentration in BUS Product Gas</t>
    </r>
  </si>
  <si>
    <r>
      <t>Moecular Weight of SO</t>
    </r>
    <r>
      <rPr>
        <vertAlign val="subscript"/>
        <sz val="10"/>
        <color theme="1"/>
        <rFont val="Calibri"/>
        <family val="2"/>
        <scheme val="minor"/>
      </rPr>
      <t>2</t>
    </r>
  </si>
  <si>
    <r>
      <t>NO</t>
    </r>
    <r>
      <rPr>
        <b/>
        <vertAlign val="subscript"/>
        <sz val="10"/>
        <color theme="0"/>
        <rFont val="Calibri"/>
        <family val="2"/>
        <scheme val="minor"/>
      </rPr>
      <t>X</t>
    </r>
  </si>
  <si>
    <r>
      <t>N</t>
    </r>
    <r>
      <rPr>
        <b/>
        <vertAlign val="subscript"/>
        <sz val="10"/>
        <color theme="0"/>
        <rFont val="Calibri"/>
        <family val="2"/>
        <scheme val="minor"/>
      </rPr>
      <t>2</t>
    </r>
    <r>
      <rPr>
        <b/>
        <sz val="10"/>
        <color theme="0"/>
        <rFont val="Calibri"/>
        <family val="2"/>
        <scheme val="minor"/>
      </rPr>
      <t>O</t>
    </r>
  </si>
  <si>
    <r>
      <t>GHG - CO</t>
    </r>
    <r>
      <rPr>
        <b/>
        <vertAlign val="subscript"/>
        <sz val="10"/>
        <color theme="0"/>
        <rFont val="Calibri"/>
        <family val="2"/>
        <scheme val="minor"/>
      </rPr>
      <t xml:space="preserve">2e </t>
    </r>
    <r>
      <rPr>
        <b/>
        <sz val="10"/>
        <color theme="0"/>
        <rFont val="Calibri"/>
        <family val="2"/>
        <scheme val="minor"/>
      </rPr>
      <t>Basis</t>
    </r>
  </si>
  <si>
    <t>GHG - Mass Basis</t>
  </si>
  <si>
    <t>Projected Annual Emissions (tpy) of Individual HAPs from Entire Project</t>
  </si>
  <si>
    <t>Total HAPs Project PTE (tpy)</t>
  </si>
  <si>
    <t>Equals/ExceedsMajor Source Threshold? (Yes/No)</t>
  </si>
  <si>
    <t>Major Source Threshold (tpy)</t>
  </si>
  <si>
    <t>Per Unit Projected Fuel Use</t>
  </si>
  <si>
    <t>Combined Projected Fuel Use from Both Units</t>
  </si>
  <si>
    <t>Per Unit Threshold for Exemption (mmscf/yr)</t>
  </si>
  <si>
    <t>Combined Fuel Use Threshold for Exemption (tpy)</t>
  </si>
  <si>
    <t>Combined Fuel Use Threshold for Exemption (gallons/year)</t>
  </si>
  <si>
    <t>Exemption for Natural Gas Boilers (62-210.300(3)(a)(34), FAC )</t>
  </si>
  <si>
    <t>Exemption for Natural Diesel Generators (62-210.300(3)(a)(35),FAC )</t>
  </si>
  <si>
    <t>Threshold</t>
  </si>
  <si>
    <t>HAPs</t>
  </si>
  <si>
    <t>500 lb/yr</t>
  </si>
  <si>
    <t>Indvidual</t>
  </si>
  <si>
    <t>1,000 lb/yr</t>
  </si>
  <si>
    <t>2,500 lb/yr</t>
  </si>
  <si>
    <t>5.0 tpy</t>
  </si>
  <si>
    <t>NA</t>
  </si>
  <si>
    <r>
      <t>Other</t>
    </r>
    <r>
      <rPr>
        <b/>
        <vertAlign val="superscript"/>
        <sz val="10"/>
        <color theme="0"/>
        <rFont val="Calibri"/>
        <family val="2"/>
        <scheme val="minor"/>
      </rPr>
      <t>[1]</t>
    </r>
  </si>
  <si>
    <t>Exemption Applies? (Yes/No)</t>
  </si>
  <si>
    <r>
      <t>Polycyclic Organic Matter</t>
    </r>
    <r>
      <rPr>
        <vertAlign val="superscript"/>
        <sz val="10"/>
        <color theme="1"/>
        <rFont val="Calibri"/>
        <family val="2"/>
        <scheme val="minor"/>
      </rPr>
      <t>[2]</t>
    </r>
  </si>
  <si>
    <t>Major/Minor Source &amp; 62-210.300, FAC Exemption Applicability Determination</t>
  </si>
  <si>
    <t>62-210.300, FAC Exemption Applicability Determination</t>
  </si>
  <si>
    <t>Qualifies for Exemption?</t>
  </si>
  <si>
    <t>Notes [ ]:</t>
  </si>
  <si>
    <t xml:space="preserve">1. 62-210.300(3)(b)(1)(c.), FAC specifies that the unit must not have the potential to emit 5.0 tpy of any regulated pollutant (other than HAPs and Lead) as defined by 62-210.200, FAC. </t>
  </si>
  <si>
    <t xml:space="preserve">2. Polycyclic Organic Matter includes Polycyclic Aromatic Hydrocarbons (PAH) emissions from the relocated diesel generator. </t>
  </si>
  <si>
    <t xml:space="preserve">3. The 1,750 kW diesel generator is being relocated from the Albert Whitted facility to the SWWRF. Therefore, it is considered a new emissions source and is included as a component of </t>
  </si>
  <si>
    <r>
      <t>hp</t>
    </r>
    <r>
      <rPr>
        <vertAlign val="superscript"/>
        <sz val="10"/>
        <color theme="1"/>
        <rFont val="Calibri"/>
        <family val="2"/>
        <scheme val="minor"/>
      </rPr>
      <t>[1]</t>
    </r>
  </si>
  <si>
    <r>
      <t>acfm</t>
    </r>
    <r>
      <rPr>
        <vertAlign val="superscript"/>
        <sz val="10"/>
        <color theme="1"/>
        <rFont val="Calibri"/>
        <family val="2"/>
        <scheme val="minor"/>
      </rPr>
      <t>[1]</t>
    </r>
  </si>
  <si>
    <r>
      <t>°F</t>
    </r>
    <r>
      <rPr>
        <vertAlign val="superscript"/>
        <sz val="10"/>
        <color theme="1"/>
        <rFont val="Calibri"/>
        <family val="2"/>
      </rPr>
      <t>[1]</t>
    </r>
  </si>
  <si>
    <r>
      <t>2. Emissions assuming 5% O</t>
    </r>
    <r>
      <rPr>
        <vertAlign val="subscript"/>
        <sz val="10"/>
        <color theme="1"/>
        <rFont val="Calibri"/>
        <family val="2"/>
        <scheme val="minor"/>
      </rPr>
      <t>2</t>
    </r>
    <r>
      <rPr>
        <sz val="10"/>
        <color theme="1"/>
        <rFont val="Calibri"/>
        <family val="2"/>
        <scheme val="minor"/>
      </rPr>
      <t xml:space="preserve"> concentration in exhaust gas.</t>
    </r>
  </si>
  <si>
    <r>
      <t>g/hp-hr</t>
    </r>
    <r>
      <rPr>
        <vertAlign val="superscript"/>
        <sz val="10"/>
        <color theme="1"/>
        <rFont val="Calibri"/>
        <family val="2"/>
        <scheme val="minor"/>
      </rPr>
      <t>[1,2]</t>
    </r>
  </si>
  <si>
    <t>1.</t>
  </si>
  <si>
    <t>USEPA, AP-42, Fifth Edition, Vol. I.  Chapter 3 "Stationary Internal Combustion Sources", Section 3.2</t>
  </si>
  <si>
    <t xml:space="preserve">     "Natural Gas-Fired Reciprocating Engines".  April 2000.</t>
  </si>
  <si>
    <t>a. Table 3.2-2 "Uncontrolled Emission Factors For 4-Stroke Lean-Burn Engines."</t>
  </si>
  <si>
    <t xml:space="preserve">assumed to be on an actual basis in this Appendix. </t>
  </si>
  <si>
    <t xml:space="preserve">4. Emission factor obtained from AP-42 (Reference 1a). </t>
  </si>
  <si>
    <r>
      <t>lb/Mbtu</t>
    </r>
    <r>
      <rPr>
        <vertAlign val="superscript"/>
        <sz val="10"/>
        <color theme="1"/>
        <rFont val="Calibri"/>
        <family val="2"/>
        <scheme val="minor"/>
      </rPr>
      <t>[4]</t>
    </r>
  </si>
  <si>
    <r>
      <t>MBtu/hr</t>
    </r>
    <r>
      <rPr>
        <vertAlign val="superscript"/>
        <sz val="10"/>
        <color theme="1"/>
        <rFont val="Calibri"/>
        <family val="2"/>
        <scheme val="minor"/>
      </rPr>
      <t>[1,6]</t>
    </r>
  </si>
  <si>
    <t>6. Based on ratio of average heat content of natural gas at LHV &amp; HHV. HHV=LHV*1.11</t>
  </si>
  <si>
    <r>
      <t>% (dry)</t>
    </r>
    <r>
      <rPr>
        <vertAlign val="superscript"/>
        <sz val="10"/>
        <color theme="1"/>
        <rFont val="Calibri"/>
        <family val="2"/>
        <scheme val="minor"/>
      </rPr>
      <t>[1,3]</t>
    </r>
  </si>
  <si>
    <r>
      <t>tpy</t>
    </r>
    <r>
      <rPr>
        <vertAlign val="superscript"/>
        <sz val="10"/>
        <color theme="1"/>
        <rFont val="Calibri"/>
        <family val="2"/>
        <scheme val="minor"/>
      </rPr>
      <t>[5]</t>
    </r>
  </si>
  <si>
    <t>1. Based on preliminary vendor data.</t>
  </si>
  <si>
    <r>
      <t>Emission Factors (lb/MBtu)</t>
    </r>
    <r>
      <rPr>
        <b/>
        <vertAlign val="superscript"/>
        <sz val="10"/>
        <color theme="0"/>
        <rFont val="Calibri"/>
        <family val="2"/>
        <scheme val="minor"/>
      </rPr>
      <t>[4]</t>
    </r>
  </si>
  <si>
    <r>
      <t>PM</t>
    </r>
    <r>
      <rPr>
        <vertAlign val="subscript"/>
        <sz val="10"/>
        <color theme="1"/>
        <rFont val="Calibri"/>
        <family val="2"/>
        <scheme val="minor"/>
      </rPr>
      <t>(filterable)</t>
    </r>
  </si>
  <si>
    <r>
      <t xml:space="preserve">5. Assumes all PM </t>
    </r>
    <r>
      <rPr>
        <sz val="10"/>
        <color theme="1"/>
        <rFont val="Calibri"/>
        <family val="2"/>
        <scheme val="minor"/>
      </rPr>
      <t>is less than 2.5 microns.</t>
    </r>
  </si>
  <si>
    <r>
      <t>PM</t>
    </r>
    <r>
      <rPr>
        <b/>
        <vertAlign val="subscript"/>
        <sz val="10"/>
        <color theme="0"/>
        <rFont val="Calibri"/>
        <family val="2"/>
        <scheme val="minor"/>
      </rPr>
      <t>10(filterable+condensible)</t>
    </r>
  </si>
  <si>
    <r>
      <t>PM</t>
    </r>
    <r>
      <rPr>
        <b/>
        <vertAlign val="subscript"/>
        <sz val="10"/>
        <color theme="0"/>
        <rFont val="Calibri"/>
        <family val="2"/>
        <scheme val="minor"/>
      </rPr>
      <t>2.5(filterable+condensible)</t>
    </r>
  </si>
  <si>
    <t xml:space="preserve">4.  USEPA issued a final rule (Reference 2) which removed a requirement in the definition of "regulated NSR pollutant" to include condensable PM when measuring one of the emissions-related </t>
  </si>
  <si>
    <t xml:space="preserve">indicators for particulate pollutant" to include condensable PM when measuring one of the emissions-related indicators for particulate matter known as "particulate matter emissions" in </t>
  </si>
  <si>
    <t xml:space="preserve">the context of the PSD and NSR regulations; therefore, only the filterable portion is regulated with regards to PM emissions.  </t>
  </si>
  <si>
    <r>
      <t>PM</t>
    </r>
    <r>
      <rPr>
        <b/>
        <vertAlign val="subscript"/>
        <sz val="10"/>
        <color theme="0"/>
        <rFont val="Calibri"/>
        <family val="2"/>
        <scheme val="minor"/>
      </rPr>
      <t>(filterable)</t>
    </r>
    <r>
      <rPr>
        <b/>
        <vertAlign val="superscript"/>
        <sz val="10"/>
        <color theme="0"/>
        <rFont val="Calibri"/>
        <family val="2"/>
        <scheme val="minor"/>
      </rPr>
      <t>[4]</t>
    </r>
  </si>
  <si>
    <r>
      <t>tpy</t>
    </r>
    <r>
      <rPr>
        <vertAlign val="superscript"/>
        <sz val="10"/>
        <color theme="1"/>
        <rFont val="Calibri"/>
        <family val="2"/>
        <scheme val="minor"/>
      </rPr>
      <t>[5,7]</t>
    </r>
  </si>
  <si>
    <t xml:space="preserve">     only the filterable portion is regulated with regards to PM emissions.  </t>
  </si>
  <si>
    <t xml:space="preserve">1. Information obtained from Brown &amp; Caldwell 30% Preliminary Design Report (PDR) and Technical </t>
  </si>
  <si>
    <t>Specifications - Volume No. 2, 60% Submittal.</t>
  </si>
  <si>
    <r>
      <t>Maximum Output (scfm)</t>
    </r>
    <r>
      <rPr>
        <b/>
        <vertAlign val="superscript"/>
        <sz val="10"/>
        <color theme="0"/>
        <rFont val="Calibri"/>
        <family val="2"/>
        <scheme val="minor"/>
      </rPr>
      <t>[1]</t>
    </r>
  </si>
  <si>
    <t>USEPA, AP-42, Fifth Edition, Vol. I.  Chapter 13 "Miscellaneous Sources", Section 13.5</t>
  </si>
  <si>
    <t xml:space="preserve">     "Industrial Flares".  April 2000.</t>
  </si>
  <si>
    <t>a. Table 13.5-1 "Emission Factors for Flare Operations".</t>
  </si>
  <si>
    <t>2. Emission factor obtained from AP-42 (Reference 1a).</t>
  </si>
  <si>
    <r>
      <t>PM (lb/mmscf)</t>
    </r>
    <r>
      <rPr>
        <vertAlign val="superscript"/>
        <sz val="10"/>
        <color theme="1"/>
        <rFont val="Calibri"/>
        <family val="2"/>
        <scheme val="minor"/>
      </rPr>
      <t>[3]</t>
    </r>
  </si>
  <si>
    <r>
      <t>PM</t>
    </r>
    <r>
      <rPr>
        <vertAlign val="subscript"/>
        <sz val="10"/>
        <color theme="1"/>
        <rFont val="Calibri"/>
        <family val="2"/>
        <scheme val="minor"/>
      </rPr>
      <t xml:space="preserve">10 </t>
    </r>
    <r>
      <rPr>
        <sz val="10"/>
        <color theme="1"/>
        <rFont val="Calibri"/>
        <family val="2"/>
        <scheme val="minor"/>
      </rPr>
      <t>(lb/mmscf)</t>
    </r>
    <r>
      <rPr>
        <vertAlign val="superscript"/>
        <sz val="10"/>
        <color theme="1"/>
        <rFont val="Calibri"/>
        <family val="2"/>
        <scheme val="minor"/>
      </rPr>
      <t>[3]</t>
    </r>
  </si>
  <si>
    <r>
      <t>PM</t>
    </r>
    <r>
      <rPr>
        <vertAlign val="subscript"/>
        <sz val="10"/>
        <color theme="1"/>
        <rFont val="Calibri"/>
        <family val="2"/>
        <scheme val="minor"/>
      </rPr>
      <t xml:space="preserve">2.5 </t>
    </r>
    <r>
      <rPr>
        <sz val="10"/>
        <color theme="1"/>
        <rFont val="Calibri"/>
        <family val="2"/>
        <scheme val="minor"/>
      </rPr>
      <t>(lb/mmscf)</t>
    </r>
    <r>
      <rPr>
        <vertAlign val="superscript"/>
        <sz val="10"/>
        <color theme="1"/>
        <rFont val="Calibri"/>
        <family val="2"/>
        <scheme val="minor"/>
      </rPr>
      <t>[3]</t>
    </r>
  </si>
  <si>
    <t>3. Assumed to be both filterable and condensible &amp; less than 2.5 microns.</t>
  </si>
  <si>
    <t xml:space="preserve"> “Implementation of the New Source Review (NSR) Program for Particulate Matter Less Than 2.5</t>
  </si>
  <si>
    <t xml:space="preserve">2. </t>
  </si>
  <si>
    <r>
      <t>CO2e</t>
    </r>
    <r>
      <rPr>
        <vertAlign val="superscript"/>
        <sz val="10"/>
        <color theme="1"/>
        <rFont val="Calibri"/>
        <family val="2"/>
        <scheme val="minor"/>
      </rPr>
      <t>[8]</t>
    </r>
  </si>
  <si>
    <r>
      <t>ppmv</t>
    </r>
    <r>
      <rPr>
        <vertAlign val="superscript"/>
        <sz val="10"/>
        <color theme="1"/>
        <rFont val="Calibri"/>
        <family val="2"/>
        <scheme val="minor"/>
      </rPr>
      <t>[1]</t>
    </r>
  </si>
  <si>
    <r>
      <t>CO</t>
    </r>
    <r>
      <rPr>
        <vertAlign val="subscript"/>
        <sz val="10"/>
        <color theme="1"/>
        <rFont val="Calibri"/>
        <family val="2"/>
        <scheme val="minor"/>
      </rPr>
      <t>2</t>
    </r>
    <r>
      <rPr>
        <sz val="10"/>
        <color theme="1"/>
        <rFont val="Calibri"/>
        <family val="2"/>
        <scheme val="minor"/>
      </rPr>
      <t xml:space="preserve"> (lb/MBtu)</t>
    </r>
    <r>
      <rPr>
        <vertAlign val="superscript"/>
        <sz val="10"/>
        <color theme="1"/>
        <rFont val="Calibri"/>
        <family val="2"/>
        <scheme val="minor"/>
      </rPr>
      <t>[4]</t>
    </r>
  </si>
  <si>
    <t xml:space="preserve">emission factor for natural gas for each flare as the value is greater than the emission factor for </t>
  </si>
  <si>
    <t xml:space="preserve">combusted biogas. </t>
  </si>
  <si>
    <t>b. Table 13.5-2 "Hydrocarbon Composition of Flare Emission"</t>
  </si>
  <si>
    <r>
      <t>4. CO</t>
    </r>
    <r>
      <rPr>
        <vertAlign val="subscript"/>
        <sz val="10"/>
        <color theme="1"/>
        <rFont val="Calibri"/>
        <family val="2"/>
        <scheme val="minor"/>
      </rPr>
      <t>2</t>
    </r>
    <r>
      <rPr>
        <sz val="10"/>
        <color theme="1"/>
        <rFont val="Calibri"/>
        <family val="2"/>
        <scheme val="minor"/>
      </rPr>
      <t xml:space="preserve"> emission factor obtained from Table C-1 to Subpart C of 40 CFR Part 98. Conservatively used </t>
    </r>
  </si>
  <si>
    <t xml:space="preserve">5. Emission factor obtained from AP-42 (Reference 1b.). Methane emissions are assumed to be 55% </t>
  </si>
  <si>
    <t xml:space="preserve">of total VOC emissions. </t>
  </si>
  <si>
    <r>
      <t>CH</t>
    </r>
    <r>
      <rPr>
        <vertAlign val="subscript"/>
        <sz val="10"/>
        <color theme="1"/>
        <rFont val="Calibri"/>
        <family val="2"/>
        <scheme val="minor"/>
      </rPr>
      <t xml:space="preserve">4 </t>
    </r>
    <r>
      <rPr>
        <sz val="10"/>
        <color theme="1"/>
        <rFont val="Calibri"/>
        <family val="2"/>
        <scheme val="minor"/>
      </rPr>
      <t>(lb/MBtu)</t>
    </r>
    <r>
      <rPr>
        <vertAlign val="superscript"/>
        <sz val="10"/>
        <color theme="1"/>
        <rFont val="Calibri"/>
        <family val="2"/>
        <scheme val="minor"/>
      </rPr>
      <t>[5]</t>
    </r>
  </si>
  <si>
    <r>
      <t>Btu/scf</t>
    </r>
    <r>
      <rPr>
        <vertAlign val="superscript"/>
        <sz val="10"/>
        <color theme="1"/>
        <rFont val="Calibri"/>
        <family val="2"/>
        <scheme val="minor"/>
      </rPr>
      <t>[6]</t>
    </r>
  </si>
  <si>
    <t xml:space="preserve">6. Calculated using information obtained from "Air Permit Info.xlsx" sent to Black &amp; Veatch on 12/6/2013  </t>
  </si>
  <si>
    <t>from Christian Aristizabal of Brown &amp; Caldwell.</t>
  </si>
  <si>
    <r>
      <t>Btu/scf</t>
    </r>
    <r>
      <rPr>
        <vertAlign val="superscript"/>
        <sz val="10"/>
        <color theme="1"/>
        <rFont val="Calibri"/>
        <family val="2"/>
        <scheme val="minor"/>
      </rPr>
      <t>[1]</t>
    </r>
  </si>
  <si>
    <r>
      <t>ppmv</t>
    </r>
    <r>
      <rPr>
        <vertAlign val="superscript"/>
        <sz val="10"/>
        <color theme="1"/>
        <rFont val="Calibri"/>
        <family val="2"/>
        <scheme val="minor"/>
      </rPr>
      <t>[6]</t>
    </r>
  </si>
  <si>
    <r>
      <t>°F</t>
    </r>
    <r>
      <rPr>
        <vertAlign val="superscript"/>
        <sz val="10"/>
        <color theme="1"/>
        <rFont val="Calibri"/>
        <family val="2"/>
        <scheme val="minor"/>
      </rPr>
      <t>[1]</t>
    </r>
  </si>
  <si>
    <r>
      <t>scf/yr</t>
    </r>
    <r>
      <rPr>
        <vertAlign val="superscript"/>
        <sz val="10"/>
        <color theme="1"/>
        <rFont val="Calibri"/>
        <family val="2"/>
        <scheme val="minor"/>
      </rPr>
      <t>[6]</t>
    </r>
  </si>
  <si>
    <r>
      <t>PM</t>
    </r>
    <r>
      <rPr>
        <b/>
        <vertAlign val="superscript"/>
        <sz val="10"/>
        <color theme="0"/>
        <rFont val="Calibri"/>
        <family val="2"/>
        <scheme val="minor"/>
      </rPr>
      <t>[3]</t>
    </r>
  </si>
  <si>
    <r>
      <t>PM</t>
    </r>
    <r>
      <rPr>
        <b/>
        <vertAlign val="subscript"/>
        <sz val="10"/>
        <color theme="0"/>
        <rFont val="Calibri"/>
        <family val="2"/>
        <scheme val="minor"/>
      </rPr>
      <t>10</t>
    </r>
    <r>
      <rPr>
        <b/>
        <vertAlign val="superscript"/>
        <sz val="10"/>
        <color theme="0"/>
        <rFont val="Calibri"/>
        <family val="2"/>
        <scheme val="minor"/>
      </rPr>
      <t>[3]</t>
    </r>
  </si>
  <si>
    <r>
      <t>PM</t>
    </r>
    <r>
      <rPr>
        <b/>
        <vertAlign val="subscript"/>
        <sz val="10"/>
        <color theme="0"/>
        <rFont val="Calibri"/>
        <family val="2"/>
        <scheme val="minor"/>
      </rPr>
      <t>2.5</t>
    </r>
    <r>
      <rPr>
        <b/>
        <vertAlign val="superscript"/>
        <sz val="10"/>
        <color theme="0"/>
        <rFont val="Calibri"/>
        <family val="2"/>
        <scheme val="minor"/>
      </rPr>
      <t>[3]</t>
    </r>
  </si>
  <si>
    <t xml:space="preserve"> during combustion. </t>
  </si>
  <si>
    <r>
      <t>7. Assumes 1 grain per 100 scf sulfur content in the pilot gas and all sulfur in the fuel is converted to SO</t>
    </r>
    <r>
      <rPr>
        <vertAlign val="subscript"/>
        <sz val="10"/>
        <color theme="1"/>
        <rFont val="Calibri"/>
        <family val="2"/>
        <scheme val="minor"/>
      </rPr>
      <t>2</t>
    </r>
  </si>
  <si>
    <r>
      <t>SO</t>
    </r>
    <r>
      <rPr>
        <b/>
        <vertAlign val="subscript"/>
        <sz val="10"/>
        <color theme="0"/>
        <rFont val="Calibri"/>
        <family val="2"/>
        <scheme val="minor"/>
      </rPr>
      <t>2</t>
    </r>
    <r>
      <rPr>
        <b/>
        <vertAlign val="superscript"/>
        <sz val="10"/>
        <color theme="0"/>
        <rFont val="Calibri"/>
        <family val="2"/>
        <scheme val="minor"/>
      </rPr>
      <t>[7]</t>
    </r>
  </si>
  <si>
    <r>
      <t>CO</t>
    </r>
    <r>
      <rPr>
        <b/>
        <vertAlign val="subscript"/>
        <sz val="10"/>
        <color theme="0"/>
        <rFont val="Calibri"/>
        <family val="2"/>
        <scheme val="minor"/>
      </rPr>
      <t>2</t>
    </r>
    <r>
      <rPr>
        <b/>
        <vertAlign val="superscript"/>
        <sz val="10"/>
        <color theme="0"/>
        <rFont val="Calibri"/>
        <family val="2"/>
        <scheme val="minor"/>
      </rPr>
      <t>[4]</t>
    </r>
  </si>
  <si>
    <r>
      <t>8.  CO</t>
    </r>
    <r>
      <rPr>
        <vertAlign val="subscript"/>
        <sz val="10"/>
        <rFont val="Calibri"/>
        <family val="2"/>
      </rPr>
      <t>2</t>
    </r>
    <r>
      <rPr>
        <sz val="10"/>
        <rFont val="Calibri"/>
        <family val="2"/>
      </rPr>
      <t xml:space="preserve"> equivalents (CO</t>
    </r>
    <r>
      <rPr>
        <vertAlign val="subscript"/>
        <sz val="10"/>
        <rFont val="Calibri"/>
        <family val="2"/>
      </rPr>
      <t>2</t>
    </r>
    <r>
      <rPr>
        <sz val="10"/>
        <rFont val="Calibri"/>
        <family val="2"/>
      </rPr>
      <t>e) based on the global warming potential for applicable pollutant as listed in</t>
    </r>
  </si>
  <si>
    <r>
      <t>CO</t>
    </r>
    <r>
      <rPr>
        <b/>
        <vertAlign val="subscript"/>
        <sz val="10"/>
        <color theme="0"/>
        <rFont val="Calibri"/>
        <family val="2"/>
        <scheme val="minor"/>
      </rPr>
      <t>2e</t>
    </r>
    <r>
      <rPr>
        <b/>
        <vertAlign val="superscript"/>
        <sz val="10"/>
        <color theme="0"/>
        <rFont val="Calibri"/>
        <family val="2"/>
        <scheme val="minor"/>
      </rPr>
      <t>[8]</t>
    </r>
  </si>
  <si>
    <t>Potential to Emit - Backup Heating Boilers for Digesters</t>
  </si>
  <si>
    <r>
      <t>Btu/scf</t>
    </r>
    <r>
      <rPr>
        <vertAlign val="superscript"/>
        <sz val="10"/>
        <color theme="1"/>
        <rFont val="Calibri"/>
        <family val="2"/>
        <scheme val="minor"/>
      </rPr>
      <t>[9]</t>
    </r>
  </si>
  <si>
    <t xml:space="preserve">9. Assumed value. </t>
  </si>
  <si>
    <r>
      <t>mmscf/hr</t>
    </r>
    <r>
      <rPr>
        <vertAlign val="superscript"/>
        <sz val="10"/>
        <rFont val="Calibri"/>
        <family val="2"/>
      </rPr>
      <t>[1]</t>
    </r>
  </si>
  <si>
    <t>[6, 8]</t>
  </si>
  <si>
    <t>d.</t>
  </si>
  <si>
    <t>[12]</t>
  </si>
  <si>
    <t>13. Emission factor obtained from AP-42 (Reference 1d).</t>
  </si>
  <si>
    <t>12. Emission factor obtained from AP-42 (Reference 1c).</t>
  </si>
  <si>
    <t>[12, 4]</t>
  </si>
  <si>
    <t>[12, 5]</t>
  </si>
  <si>
    <t>[13]</t>
  </si>
  <si>
    <t>14.  Polycyclic Organic Matter (POM) emissions is the summation of individual POM pollutants.</t>
  </si>
  <si>
    <r>
      <t>3. Preliminary vendor data contains CO</t>
    </r>
    <r>
      <rPr>
        <vertAlign val="subscript"/>
        <sz val="10"/>
        <color theme="1"/>
        <rFont val="Calibri"/>
        <family val="2"/>
        <scheme val="minor"/>
      </rPr>
      <t>2</t>
    </r>
    <r>
      <rPr>
        <sz val="10"/>
        <color theme="1"/>
        <rFont val="Calibri"/>
        <family val="2"/>
        <scheme val="minor"/>
      </rPr>
      <t xml:space="preserve"> exaust percentage by volume on a dry basis. The value is conservatively </t>
    </r>
  </si>
  <si>
    <t xml:space="preserve">of carbon scrubbers. </t>
  </si>
  <si>
    <r>
      <t>ppmvd</t>
    </r>
    <r>
      <rPr>
        <vertAlign val="superscript"/>
        <sz val="10"/>
        <color theme="1"/>
        <rFont val="Calibri"/>
        <family val="2"/>
        <scheme val="minor"/>
      </rPr>
      <t>[3]</t>
    </r>
  </si>
  <si>
    <r>
      <t>Control Efficiency (per scrubber)</t>
    </r>
    <r>
      <rPr>
        <vertAlign val="superscript"/>
        <sz val="10"/>
        <color theme="1"/>
        <rFont val="Calibri"/>
        <family val="2"/>
        <scheme val="minor"/>
      </rPr>
      <t>[1,2]</t>
    </r>
  </si>
  <si>
    <t xml:space="preserve">2. Specifications are for 99% control efficiency. 95% conservatively assumed. </t>
  </si>
  <si>
    <r>
      <t>3. Based on engineering estimates. Conservatively assumes maximum H</t>
    </r>
    <r>
      <rPr>
        <vertAlign val="subscript"/>
        <sz val="10"/>
        <color theme="1"/>
        <rFont val="Calibri"/>
        <family val="2"/>
        <scheme val="minor"/>
      </rPr>
      <t>2</t>
    </r>
    <r>
      <rPr>
        <sz val="10"/>
        <color theme="1"/>
        <rFont val="Calibri"/>
        <family val="2"/>
        <scheme val="minor"/>
      </rPr>
      <t>S concentration of 45 ppmvd.</t>
    </r>
  </si>
  <si>
    <t>AverageTemperature of Foul Air</t>
  </si>
  <si>
    <r>
      <t>Design Capacity</t>
    </r>
    <r>
      <rPr>
        <vertAlign val="superscript"/>
        <sz val="10"/>
        <color theme="1"/>
        <rFont val="Calibri"/>
        <family val="2"/>
        <scheme val="minor"/>
      </rPr>
      <t>[1]</t>
    </r>
    <r>
      <rPr>
        <sz val="10"/>
        <color theme="1"/>
        <rFont val="Calibri"/>
        <family val="2"/>
        <scheme val="minor"/>
      </rPr>
      <t xml:space="preserve"> </t>
    </r>
  </si>
  <si>
    <t>Scrubber 1 - Primary Clarifiers &amp; Gravity Belt Thickener Building</t>
  </si>
  <si>
    <t>Scrubber 2 - Primary Clarifiers &amp; Gravity Belt Thickener Building</t>
  </si>
  <si>
    <t>one time, with one stand-by.</t>
  </si>
  <si>
    <r>
      <t>H</t>
    </r>
    <r>
      <rPr>
        <vertAlign val="subscript"/>
        <sz val="10"/>
        <color theme="1"/>
        <rFont val="Calibri"/>
        <family val="2"/>
        <scheme val="minor"/>
      </rPr>
      <t>2</t>
    </r>
    <r>
      <rPr>
        <sz val="10"/>
        <color theme="1"/>
        <rFont val="Calibri"/>
        <family val="2"/>
        <scheme val="minor"/>
      </rPr>
      <t>S Concentration in Foul Air (Primary Clarifiers &amp; Gravity Belt Thickener Building)</t>
    </r>
  </si>
  <si>
    <r>
      <t>H</t>
    </r>
    <r>
      <rPr>
        <vertAlign val="subscript"/>
        <sz val="10"/>
        <color theme="1"/>
        <rFont val="Calibri"/>
        <family val="2"/>
        <scheme val="minor"/>
      </rPr>
      <t>2</t>
    </r>
    <r>
      <rPr>
        <sz val="10"/>
        <color theme="1"/>
        <rFont val="Calibri"/>
        <family val="2"/>
        <scheme val="minor"/>
      </rPr>
      <t>S Concentration in Foul Air (Dewatering Building)</t>
    </r>
  </si>
  <si>
    <t xml:space="preserve">HP </t>
  </si>
  <si>
    <t>2.  Based on diesel fuel characteristics listed in Reference 2.</t>
  </si>
  <si>
    <t xml:space="preserve">1.  Caterpillar Model 3516 1750 kW generator installed at Albert Whitted facility in 2000, to be </t>
  </si>
  <si>
    <t xml:space="preserve">based on 1999 performance data from vendor for Model 3516B 1825 kW diesel generator. </t>
  </si>
  <si>
    <t xml:space="preserve">relocated at SWWRF as part of BIP. Data from this specific engine is unavailable. Therefore, calculations </t>
  </si>
  <si>
    <t>3.  Based on the requirements of 40 CFR Part 63, Subpart ZZZZ and 40 CFR Part 80.510(b).</t>
  </si>
  <si>
    <t>Potential to Emit - Relocated 1750 kW Diesel Emergency Generator (New Source)</t>
  </si>
  <si>
    <t>[1,10]</t>
  </si>
  <si>
    <t xml:space="preserve">10. Emission factors enveloped across varying operational conditions to represent worst-case emissions. </t>
  </si>
  <si>
    <t>HP</t>
  </si>
  <si>
    <t>HAP Emissions - Relocated 1750 kW Diesel Emergency Generator (New Source)</t>
  </si>
  <si>
    <t>Emission Rate (lb/hr)
(per unit)</t>
  </si>
  <si>
    <t>PTE (tpy) 
(Both Engines Operating)</t>
  </si>
  <si>
    <t>Add N2O Emissions Part 98 Table C-1</t>
  </si>
  <si>
    <t>Mass Emission Rate (Per Unit)</t>
  </si>
  <si>
    <r>
      <t>10.  Assumes 100% (by volume) of SO</t>
    </r>
    <r>
      <rPr>
        <vertAlign val="subscript"/>
        <sz val="10"/>
        <rFont val="Calibri"/>
        <family val="2"/>
        <scheme val="minor"/>
      </rPr>
      <t>2</t>
    </r>
    <r>
      <rPr>
        <sz val="10"/>
        <rFont val="Calibri"/>
        <family val="2"/>
        <scheme val="minor"/>
      </rPr>
      <t xml:space="preserve"> is oxidized to form SO</t>
    </r>
    <r>
      <rPr>
        <vertAlign val="subscript"/>
        <sz val="10"/>
        <rFont val="Calibri"/>
        <family val="2"/>
        <scheme val="minor"/>
      </rPr>
      <t>3.</t>
    </r>
  </si>
  <si>
    <t>1.  Based on performance data for Caterpillar model 3516C 2000 eKW Diesel Generator Set.</t>
  </si>
  <si>
    <t>Potential to Emit - Gas - Fired Engine Generators</t>
  </si>
  <si>
    <r>
      <t>9.  Assumes 100% (by volume) of SO</t>
    </r>
    <r>
      <rPr>
        <vertAlign val="subscript"/>
        <sz val="10"/>
        <rFont val="Calibri"/>
        <family val="2"/>
      </rPr>
      <t>2</t>
    </r>
    <r>
      <rPr>
        <sz val="10"/>
        <rFont val="Calibri"/>
        <family val="2"/>
      </rPr>
      <t xml:space="preserve"> oxidized to form SO</t>
    </r>
    <r>
      <rPr>
        <vertAlign val="subscript"/>
        <sz val="10"/>
        <rFont val="Calibri"/>
        <family val="2"/>
      </rPr>
      <t>3</t>
    </r>
    <r>
      <rPr>
        <sz val="10"/>
        <rFont val="Calibri"/>
        <family val="2"/>
      </rPr>
      <t>.</t>
    </r>
  </si>
  <si>
    <r>
      <t>H</t>
    </r>
    <r>
      <rPr>
        <vertAlign val="subscript"/>
        <sz val="10"/>
        <color theme="1"/>
        <rFont val="Calibri"/>
        <family val="2"/>
        <scheme val="minor"/>
      </rPr>
      <t>2</t>
    </r>
    <r>
      <rPr>
        <sz val="10"/>
        <color theme="1"/>
        <rFont val="Calibri"/>
        <family val="2"/>
        <scheme val="minor"/>
      </rPr>
      <t>SO</t>
    </r>
    <r>
      <rPr>
        <vertAlign val="subscript"/>
        <sz val="10"/>
        <color theme="1"/>
        <rFont val="Calibri"/>
        <family val="2"/>
        <scheme val="minor"/>
      </rPr>
      <t>4</t>
    </r>
    <r>
      <rPr>
        <vertAlign val="superscript"/>
        <sz val="10"/>
        <color theme="1"/>
        <rFont val="Calibri"/>
        <family val="2"/>
        <scheme val="minor"/>
      </rPr>
      <t>[9]</t>
    </r>
  </si>
  <si>
    <r>
      <t>N2O(lb/Mbtu)</t>
    </r>
    <r>
      <rPr>
        <vertAlign val="superscript"/>
        <sz val="10"/>
        <color theme="1"/>
        <rFont val="Calibri"/>
        <family val="2"/>
        <scheme val="minor"/>
      </rPr>
      <t>[4]</t>
    </r>
  </si>
  <si>
    <t xml:space="preserve">Specifications - Volume No. 3, 60% Submittal. Value is downstream of Biotrickling Filters at inlet </t>
  </si>
  <si>
    <r>
      <t>H</t>
    </r>
    <r>
      <rPr>
        <b/>
        <vertAlign val="subscript"/>
        <sz val="10"/>
        <color theme="0"/>
        <rFont val="Calibri"/>
        <family val="2"/>
        <scheme val="minor"/>
      </rPr>
      <t>2</t>
    </r>
    <r>
      <rPr>
        <b/>
        <sz val="10"/>
        <color theme="0"/>
        <rFont val="Calibri"/>
        <family val="2"/>
        <scheme val="minor"/>
      </rPr>
      <t>SO4</t>
    </r>
  </si>
  <si>
    <r>
      <t>H</t>
    </r>
    <r>
      <rPr>
        <b/>
        <vertAlign val="subscript"/>
        <sz val="10"/>
        <color theme="0"/>
        <rFont val="Calibri"/>
        <family val="2"/>
        <scheme val="minor"/>
      </rPr>
      <t>2</t>
    </r>
    <r>
      <rPr>
        <b/>
        <sz val="10"/>
        <color theme="0"/>
        <rFont val="Calibri"/>
        <family val="2"/>
        <scheme val="minor"/>
      </rPr>
      <t>S</t>
    </r>
  </si>
  <si>
    <t>Scrubbers</t>
  </si>
  <si>
    <t xml:space="preserve">Potential to Emit - 2000 kW Diesel Emergency Generator </t>
  </si>
  <si>
    <t>Facility PTE</t>
  </si>
  <si>
    <t>BIP PTE</t>
  </si>
  <si>
    <t>Title V Threshold (tpy)</t>
  </si>
  <si>
    <t>Equals/Exceeds Threshold? (Yes/No)</t>
  </si>
  <si>
    <t xml:space="preserve">HAP Emissions - 2,000 kW Diesel Emergency Generator </t>
  </si>
  <si>
    <r>
      <t>PSD Applicability Determination</t>
    </r>
    <r>
      <rPr>
        <b/>
        <vertAlign val="superscript"/>
        <sz val="10"/>
        <color theme="0"/>
        <rFont val="Calibri"/>
        <family val="2"/>
        <scheme val="minor"/>
      </rPr>
      <t>[3]</t>
    </r>
  </si>
  <si>
    <t>Projected Annual Emissions (tpy) of PSD Pollutants from BIP Project</t>
  </si>
  <si>
    <t>Projected Annual Emissions (tpy) From Entire Facility</t>
  </si>
  <si>
    <t xml:space="preserve"> PTE</t>
  </si>
  <si>
    <r>
      <t>GHG - Mass Basis</t>
    </r>
    <r>
      <rPr>
        <b/>
        <vertAlign val="superscript"/>
        <sz val="10"/>
        <color theme="0"/>
        <rFont val="Calibri"/>
        <family val="2"/>
        <scheme val="minor"/>
      </rPr>
      <t>[5]</t>
    </r>
  </si>
  <si>
    <t>Title V Applicability Determination</t>
  </si>
  <si>
    <r>
      <t xml:space="preserve">5. According to USEPA guidance after July 1, 2011 existing and newly constructed facilites must have GHG PTEs that equal or exceed 100 tpy on a mass basis </t>
    </r>
    <r>
      <rPr>
        <i/>
        <sz val="10"/>
        <rFont val="Calibri"/>
        <family val="2"/>
        <scheme val="minor"/>
      </rPr>
      <t>and</t>
    </r>
    <r>
      <rPr>
        <sz val="10"/>
        <rFont val="Calibri"/>
        <family val="2"/>
        <scheme val="minor"/>
      </rPr>
      <t xml:space="preserve"> 100,000 tpy on a CO</t>
    </r>
    <r>
      <rPr>
        <vertAlign val="subscript"/>
        <sz val="10"/>
        <rFont val="Calibri"/>
        <family val="2"/>
        <scheme val="minor"/>
      </rPr>
      <t>2</t>
    </r>
    <r>
      <rPr>
        <sz val="10"/>
        <rFont val="Calibri"/>
        <family val="2"/>
        <scheme val="minor"/>
      </rPr>
      <t>e basis.</t>
    </r>
  </si>
  <si>
    <r>
      <t>H</t>
    </r>
    <r>
      <rPr>
        <vertAlign val="subscript"/>
        <sz val="10"/>
        <color theme="1"/>
        <rFont val="Calibri"/>
        <family val="2"/>
        <scheme val="minor"/>
      </rPr>
      <t>2</t>
    </r>
    <r>
      <rPr>
        <sz val="10"/>
        <color theme="1"/>
        <rFont val="Calibri"/>
        <family val="2"/>
        <scheme val="minor"/>
      </rPr>
      <t>S Concentration in Foul Air (Headworks)</t>
    </r>
  </si>
  <si>
    <t>Existing Scrubber - Headworks</t>
  </si>
  <si>
    <t>Biosolids Improvement Project (BIP)</t>
  </si>
  <si>
    <t>Potential to Emit - Proposed Odor Control Systems</t>
  </si>
  <si>
    <t>Potential to Emit - Existing Headworks Odor Control Systems</t>
  </si>
  <si>
    <r>
      <t>1. Maximum measured influent H</t>
    </r>
    <r>
      <rPr>
        <vertAlign val="subscript"/>
        <sz val="10"/>
        <rFont val="Calibri"/>
        <family val="2"/>
        <scheme val="minor"/>
      </rPr>
      <t>2</t>
    </r>
    <r>
      <rPr>
        <sz val="10"/>
        <rFont val="Calibri"/>
        <family val="2"/>
        <scheme val="minor"/>
      </rPr>
      <t xml:space="preserve">S concentration as monitored by SWWRF odor loggers located in the wet-well and headworks. </t>
    </r>
  </si>
  <si>
    <r>
      <t>Control Efficiency (per scrubber)</t>
    </r>
    <r>
      <rPr>
        <vertAlign val="superscript"/>
        <sz val="10"/>
        <color theme="1"/>
        <rFont val="Calibri"/>
        <family val="2"/>
        <scheme val="minor"/>
      </rPr>
      <t>[2]</t>
    </r>
  </si>
  <si>
    <r>
      <t>°F</t>
    </r>
    <r>
      <rPr>
        <vertAlign val="superscript"/>
        <sz val="10"/>
        <color theme="1"/>
        <rFont val="Calibri"/>
        <family val="2"/>
      </rPr>
      <t>[3]</t>
    </r>
  </si>
  <si>
    <r>
      <t>Design Capacity</t>
    </r>
    <r>
      <rPr>
        <b/>
        <vertAlign val="superscript"/>
        <sz val="10"/>
        <color theme="1"/>
        <rFont val="Calibri"/>
        <family val="2"/>
        <scheme val="minor"/>
      </rPr>
      <t>[1]</t>
    </r>
    <r>
      <rPr>
        <b/>
        <sz val="10"/>
        <color theme="1"/>
        <rFont val="Calibri"/>
        <family val="2"/>
        <scheme val="minor"/>
      </rPr>
      <t xml:space="preserve"> </t>
    </r>
  </si>
  <si>
    <t>3. Assumed value based on engineering data from proposed odor control systems.</t>
  </si>
  <si>
    <t xml:space="preserve">4. 3 total scrubbers available to Primary Clarifiers &amp; Gravity Belt Thickener Building, however, only 2 in use at any </t>
  </si>
  <si>
    <t xml:space="preserve">5. Foul air flow through scrubber 3 assumed to be equal to aggregate of scrubbers 1 &amp; 2. </t>
  </si>
  <si>
    <r>
      <t>Scrubber 3 - Dewatering Building</t>
    </r>
    <r>
      <rPr>
        <vertAlign val="superscript"/>
        <sz val="10"/>
        <color theme="1"/>
        <rFont val="Calibri"/>
        <family val="2"/>
        <scheme val="minor"/>
      </rPr>
      <t>[5]</t>
    </r>
  </si>
  <si>
    <r>
      <t>H</t>
    </r>
    <r>
      <rPr>
        <b/>
        <vertAlign val="subscript"/>
        <sz val="10"/>
        <color theme="1"/>
        <rFont val="Calibri"/>
        <family val="2"/>
        <scheme val="minor"/>
      </rPr>
      <t>2</t>
    </r>
    <r>
      <rPr>
        <b/>
        <sz val="10"/>
        <color theme="1"/>
        <rFont val="Calibri"/>
        <family val="2"/>
        <scheme val="minor"/>
      </rPr>
      <t>S PTE (tons per year)</t>
    </r>
    <r>
      <rPr>
        <b/>
        <vertAlign val="superscript"/>
        <sz val="10"/>
        <color theme="1"/>
        <rFont val="Calibri"/>
        <family val="2"/>
        <scheme val="minor"/>
      </rPr>
      <t>[4]</t>
    </r>
  </si>
  <si>
    <r>
      <t>H</t>
    </r>
    <r>
      <rPr>
        <b/>
        <vertAlign val="subscript"/>
        <sz val="10"/>
        <color theme="1"/>
        <rFont val="Calibri"/>
        <family val="2"/>
        <scheme val="minor"/>
      </rPr>
      <t>2</t>
    </r>
    <r>
      <rPr>
        <b/>
        <sz val="10"/>
        <color theme="1"/>
        <rFont val="Calibri"/>
        <family val="2"/>
        <scheme val="minor"/>
      </rPr>
      <t>S PTE (tons per year)</t>
    </r>
  </si>
  <si>
    <r>
      <t>Appendix A - Table A "Updated CEIDARS Table with PM</t>
    </r>
    <r>
      <rPr>
        <vertAlign val="subscript"/>
        <sz val="10"/>
        <rFont val="Calibri"/>
        <family val="2"/>
      </rPr>
      <t>2.5</t>
    </r>
    <r>
      <rPr>
        <sz val="10"/>
        <rFont val="Calibri"/>
        <family val="2"/>
      </rPr>
      <t xml:space="preserve"> Fractions".</t>
    </r>
  </si>
  <si>
    <t xml:space="preserve">     Matter (PM) 2.5 and PM 2.5 Significance Thresholds".  Final.  October 2006.</t>
  </si>
  <si>
    <t>1.  South Coast AQMD, Air Guidance Book "Methodology to Calculate Particulate</t>
  </si>
  <si>
    <r>
      <t>4.  Fraction of PM</t>
    </r>
    <r>
      <rPr>
        <vertAlign val="subscript"/>
        <sz val="10"/>
        <rFont val="Calibri"/>
        <family val="2"/>
      </rPr>
      <t>10</t>
    </r>
    <r>
      <rPr>
        <sz val="10"/>
        <rFont val="Calibri"/>
        <family val="2"/>
      </rPr>
      <t xml:space="preserve"> that is PM</t>
    </r>
    <r>
      <rPr>
        <vertAlign val="subscript"/>
        <sz val="10"/>
        <rFont val="Calibri"/>
        <family val="2"/>
      </rPr>
      <t>2.5</t>
    </r>
    <r>
      <rPr>
        <sz val="10"/>
        <rFont val="Calibri"/>
        <family val="2"/>
      </rPr>
      <t xml:space="preserve"> was obtained from SCAQMD (Reference 1a).</t>
    </r>
  </si>
  <si>
    <t xml:space="preserve">     10 micrometers in diameter.</t>
  </si>
  <si>
    <t>3.  Conservatively assumed all particulate matter emissions are less than</t>
  </si>
  <si>
    <t>1.  Based on vendor data.</t>
  </si>
  <si>
    <t>Mechanical Draft Cooling Tower</t>
  </si>
  <si>
    <r>
      <t>PM</t>
    </r>
    <r>
      <rPr>
        <b/>
        <vertAlign val="subscript"/>
        <sz val="10"/>
        <color theme="0"/>
        <rFont val="Calibri"/>
        <family val="2"/>
      </rPr>
      <t>2.5</t>
    </r>
  </si>
  <si>
    <r>
      <t>PM</t>
    </r>
    <r>
      <rPr>
        <b/>
        <vertAlign val="subscript"/>
        <sz val="10"/>
        <color theme="0"/>
        <rFont val="Calibri"/>
        <family val="2"/>
      </rPr>
      <t>10</t>
    </r>
  </si>
  <si>
    <t>(ton/yr)</t>
  </si>
  <si>
    <t>Activity</t>
  </si>
  <si>
    <t>Potential Emissions</t>
  </si>
  <si>
    <r>
      <t>PM</t>
    </r>
    <r>
      <rPr>
        <vertAlign val="subscript"/>
        <sz val="10"/>
        <rFont val="Calibri"/>
        <family val="2"/>
      </rPr>
      <t>2.5</t>
    </r>
    <r>
      <rPr>
        <sz val="10"/>
        <rFont val="Calibri"/>
        <family val="2"/>
      </rPr>
      <t xml:space="preserve"> fraction, dimensionless</t>
    </r>
  </si>
  <si>
    <r>
      <t>F</t>
    </r>
    <r>
      <rPr>
        <vertAlign val="subscript"/>
        <sz val="10"/>
        <rFont val="Calibri"/>
        <family val="2"/>
      </rPr>
      <t>PM10/PM</t>
    </r>
    <r>
      <rPr>
        <sz val="10"/>
        <rFont val="Calibri"/>
        <family val="2"/>
      </rPr>
      <t xml:space="preserve"> =</t>
    </r>
  </si>
  <si>
    <r>
      <t>PM</t>
    </r>
    <r>
      <rPr>
        <vertAlign val="subscript"/>
        <sz val="10"/>
        <rFont val="Calibri"/>
        <family val="2"/>
      </rPr>
      <t>10</t>
    </r>
    <r>
      <rPr>
        <sz val="10"/>
        <rFont val="Calibri"/>
        <family val="2"/>
      </rPr>
      <t xml:space="preserve"> emissions</t>
    </r>
  </si>
  <si>
    <r>
      <t>E</t>
    </r>
    <r>
      <rPr>
        <vertAlign val="subscript"/>
        <sz val="10"/>
        <rFont val="Calibri"/>
        <family val="2"/>
      </rPr>
      <t>PM10</t>
    </r>
    <r>
      <rPr>
        <sz val="10"/>
        <rFont val="Calibri"/>
        <family val="2"/>
      </rPr>
      <t xml:space="preserve"> =</t>
    </r>
  </si>
  <si>
    <t>emissions, tons</t>
  </si>
  <si>
    <t>E =</t>
  </si>
  <si>
    <t>where,</t>
  </si>
  <si>
    <r>
      <t>PM</t>
    </r>
    <r>
      <rPr>
        <i/>
        <vertAlign val="subscript"/>
        <sz val="10"/>
        <rFont val="Calibri"/>
        <family val="2"/>
      </rPr>
      <t>2.5</t>
    </r>
  </si>
  <si>
    <t>[3]</t>
  </si>
  <si>
    <r>
      <t>PM</t>
    </r>
    <r>
      <rPr>
        <vertAlign val="subscript"/>
        <sz val="10"/>
        <rFont val="Calibri"/>
        <family val="2"/>
      </rPr>
      <t>10</t>
    </r>
    <r>
      <rPr>
        <sz val="10"/>
        <rFont val="Calibri"/>
        <family val="2"/>
      </rPr>
      <t xml:space="preserve"> fraction, dimensionless</t>
    </r>
  </si>
  <si>
    <t>PM emissions</t>
  </si>
  <si>
    <r>
      <t>E</t>
    </r>
    <r>
      <rPr>
        <vertAlign val="subscript"/>
        <sz val="10"/>
        <rFont val="Calibri"/>
        <family val="2"/>
      </rPr>
      <t>PM</t>
    </r>
    <r>
      <rPr>
        <sz val="10"/>
        <rFont val="Calibri"/>
        <family val="2"/>
      </rPr>
      <t xml:space="preserve"> =</t>
    </r>
  </si>
  <si>
    <r>
      <t>PM</t>
    </r>
    <r>
      <rPr>
        <i/>
        <vertAlign val="subscript"/>
        <sz val="10"/>
        <rFont val="Calibri"/>
        <family val="2"/>
      </rPr>
      <t>10</t>
    </r>
  </si>
  <si>
    <t>hrs/yr</t>
  </si>
  <si>
    <t>hours of operation, hrs/yr</t>
  </si>
  <si>
    <t>Hours of Op. =</t>
  </si>
  <si>
    <r>
      <t xml:space="preserve">ppmw </t>
    </r>
    <r>
      <rPr>
        <vertAlign val="superscript"/>
        <sz val="10"/>
        <rFont val="Calibri"/>
        <family val="2"/>
      </rPr>
      <t>[2]</t>
    </r>
  </si>
  <si>
    <t>cycled water TDS, ppmw</t>
  </si>
  <si>
    <t>TDS =</t>
  </si>
  <si>
    <t>lb/gal</t>
  </si>
  <si>
    <t>density of water, lb/gal</t>
  </si>
  <si>
    <r>
      <t>ρ</t>
    </r>
    <r>
      <rPr>
        <vertAlign val="subscript"/>
        <sz val="10"/>
        <rFont val="Calibri"/>
        <family val="2"/>
      </rPr>
      <t>H2O</t>
    </r>
    <r>
      <rPr>
        <sz val="10"/>
        <rFont val="Calibri"/>
        <family val="2"/>
      </rPr>
      <t xml:space="preserve"> =</t>
    </r>
  </si>
  <si>
    <r>
      <t xml:space="preserve">% </t>
    </r>
    <r>
      <rPr>
        <vertAlign val="superscript"/>
        <sz val="10"/>
        <rFont val="Calibri"/>
        <family val="2"/>
      </rPr>
      <t>[1]</t>
    </r>
  </si>
  <si>
    <t>drift rate, %</t>
  </si>
  <si>
    <t>DR =</t>
  </si>
  <si>
    <r>
      <t xml:space="preserve">gpm </t>
    </r>
    <r>
      <rPr>
        <vertAlign val="superscript"/>
        <sz val="10"/>
        <rFont val="Calibri"/>
        <family val="2"/>
      </rPr>
      <t>[1]</t>
    </r>
  </si>
  <si>
    <t>circulating water flow, gpm</t>
  </si>
  <si>
    <t>CWF =</t>
  </si>
  <si>
    <t>Emissions Equation</t>
  </si>
  <si>
    <t>St. Petersburg SW WRF</t>
  </si>
  <si>
    <t>see Table below</t>
  </si>
  <si>
    <t>Cooling Tower Emissions</t>
  </si>
  <si>
    <t xml:space="preserve">2.  Site-specific water data was unavailable.  Conservative preliminary engineering </t>
  </si>
  <si>
    <t xml:space="preserve">     estimate based on Florida experience and 3 cycles of concentration.</t>
  </si>
  <si>
    <t>Potential to Emit - Proposed Cooling Tower</t>
  </si>
  <si>
    <t>Generic Exemption Applicability for Flares, Carbon Scrubbers, &amp; Cooling Tower 
(62-210.300(3)(b)(1)(c), FAC)</t>
  </si>
  <si>
    <t>Generic Exemption Applicability for Flares, Carbon Scrubbers, &amp; Cooling Tower
(62-210.300(3)(b)(1)(b), FAC)</t>
  </si>
  <si>
    <t>Cooling Tower</t>
  </si>
  <si>
    <r>
      <t>For the BIP Project flares and cooling tower, these "other" pollutants include NO</t>
    </r>
    <r>
      <rPr>
        <vertAlign val="subscript"/>
        <sz val="10"/>
        <color theme="1"/>
        <rFont val="Calibri"/>
        <family val="2"/>
        <scheme val="minor"/>
      </rPr>
      <t>X</t>
    </r>
    <r>
      <rPr>
        <sz val="10"/>
        <color theme="1"/>
        <rFont val="Calibri"/>
        <family val="2"/>
        <scheme val="minor"/>
      </rPr>
      <t>, VOC, SO</t>
    </r>
    <r>
      <rPr>
        <vertAlign val="subscript"/>
        <sz val="10"/>
        <color theme="1"/>
        <rFont val="Calibri"/>
        <family val="2"/>
        <scheme val="minor"/>
      </rPr>
      <t>2</t>
    </r>
    <r>
      <rPr>
        <sz val="10"/>
        <color theme="1"/>
        <rFont val="Calibri"/>
        <family val="2"/>
        <scheme val="minor"/>
      </rPr>
      <t>, PM</t>
    </r>
    <r>
      <rPr>
        <vertAlign val="subscript"/>
        <sz val="10"/>
        <color theme="1"/>
        <rFont val="Calibri"/>
        <family val="2"/>
        <scheme val="minor"/>
      </rPr>
      <t>10</t>
    </r>
    <r>
      <rPr>
        <sz val="10"/>
        <color theme="1"/>
        <rFont val="Calibri"/>
        <family val="2"/>
        <scheme val="minor"/>
      </rPr>
      <t>, PM</t>
    </r>
    <r>
      <rPr>
        <vertAlign val="subscript"/>
        <sz val="10"/>
        <color theme="1"/>
        <rFont val="Calibri"/>
        <family val="2"/>
        <scheme val="minor"/>
      </rPr>
      <t>2.5</t>
    </r>
    <r>
      <rPr>
        <sz val="10"/>
        <color theme="1"/>
        <rFont val="Calibri"/>
        <family val="2"/>
        <scheme val="minor"/>
      </rPr>
      <t xml:space="preserve"> and PM, PM</t>
    </r>
    <r>
      <rPr>
        <vertAlign val="subscript"/>
        <sz val="10"/>
        <color theme="1"/>
        <rFont val="Calibri"/>
        <family val="2"/>
        <scheme val="minor"/>
      </rPr>
      <t>10</t>
    </r>
    <r>
      <rPr>
        <sz val="10"/>
        <color theme="1"/>
        <rFont val="Calibri"/>
        <family val="2"/>
        <scheme val="minor"/>
      </rPr>
      <t xml:space="preserve"> and PM</t>
    </r>
    <r>
      <rPr>
        <vertAlign val="subscript"/>
        <sz val="10"/>
        <color theme="1"/>
        <rFont val="Calibri"/>
        <family val="2"/>
        <scheme val="minor"/>
      </rPr>
      <t>2.5</t>
    </r>
    <r>
      <rPr>
        <sz val="10"/>
        <color theme="1"/>
        <rFont val="Calibri"/>
        <family val="2"/>
        <scheme val="minor"/>
      </rPr>
      <t xml:space="preserve">, respectively. Only the maximum amount emitted is shown </t>
    </r>
  </si>
  <si>
    <t xml:space="preserve">here. Please see "Flares", "Carbon Scrubber Emissions", and "Cooling Tower" for individual pollutant emissions. </t>
  </si>
  <si>
    <t xml:space="preserve">the BIP Project and its PTE is included in the PSD major source applicability deteremination. The 2,000 kW generator is currently located at the SWWRF. Therefore, the 2,000 kW emissions are </t>
  </si>
  <si>
    <t xml:space="preserve">not included in the PSD major source applicability determination and it is only shown in this appendix in order to determine Title V Major Source applicability and the applicability of exemptions </t>
  </si>
  <si>
    <t xml:space="preserve">pursuant to 62-210.300, FAC. </t>
  </si>
  <si>
    <t>2.  Based on design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</si>
</sst>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3" formatCode="_(* #,##0.00_);_(* \(#,##0.00\);_(* &quot;-&quot;??_);_(@_)"/>
    <numFmt numFmtId="164" formatCode="0.0"/>
    <numFmt numFmtId="165" formatCode="0.0000"/>
    <numFmt numFmtId="166" formatCode="0.000"/>
    <numFmt numFmtId="167" formatCode="0.0E+00"/>
    <numFmt numFmtId="168" formatCode="#,##0.0000"/>
    <numFmt numFmtId="169" formatCode="#,##0.0"/>
    <numFmt numFmtId="170" formatCode="&quot;$&quot;#,##0\ ;\(&quot;$&quot;#,##0\)"/>
    <numFmt numFmtId="171" formatCode="#."/>
    <numFmt numFmtId="172" formatCode="#,##0.000"/>
    <numFmt numFmtId="173" formatCode="_(* #,##0_);_(* \(#,##0\);_(* &quot;-&quot;??_);_(@_)"/>
    <numFmt numFmtId="174" formatCode="#,##0.00000"/>
  </numFmts>
  <fonts count="75">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0"/>
      <color theme="1"/>
      <name val="Calibri"/>
      <family val="2"/>
    </font>
    <font>
      <vertAlign val="subscript"/>
      <sz val="10"/>
      <color theme="1"/>
      <name val="Calibri"/>
      <family val="2"/>
      <scheme val="minor"/>
    </font>
    <font>
      <b/>
      <sz val="10"/>
      <color theme="0"/>
      <name val="Calibri"/>
      <family val="2"/>
      <scheme val="minor"/>
    </font>
    <font>
      <b/>
      <vertAlign val="subscript"/>
      <sz val="10"/>
      <color theme="0"/>
      <name val="Calibri"/>
      <family val="2"/>
      <scheme val="minor"/>
    </font>
    <font>
      <vertAlign val="superscript"/>
      <sz val="10"/>
      <color theme="1"/>
      <name val="Calibri"/>
      <family val="2"/>
      <scheme val="minor"/>
    </font>
    <font>
      <sz val="10"/>
      <name val="Calibri"/>
      <family val="2"/>
      <scheme val="minor"/>
    </font>
    <font>
      <sz val="11"/>
      <name val="Calibri"/>
      <family val="2"/>
      <scheme val="minor"/>
    </font>
    <font>
      <sz val="8"/>
      <color rgb="FF005596"/>
      <name val="Calibri"/>
      <family val="2"/>
      <scheme val="minor"/>
    </font>
    <font>
      <sz val="10"/>
      <name val="Arial"/>
      <family val="2"/>
    </font>
    <font>
      <b/>
      <sz val="14"/>
      <name val="Calibri"/>
      <family val="2"/>
    </font>
    <font>
      <sz val="10"/>
      <name val="Calibri"/>
      <family val="2"/>
    </font>
    <font>
      <b/>
      <sz val="11"/>
      <name val="Calibri"/>
      <family val="2"/>
    </font>
    <font>
      <b/>
      <sz val="10"/>
      <name val="Calibri"/>
      <family val="2"/>
    </font>
    <font>
      <vertAlign val="superscript"/>
      <sz val="10"/>
      <name val="Calibri"/>
      <family val="2"/>
    </font>
    <font>
      <vertAlign val="subscript"/>
      <sz val="10"/>
      <name val="Calibri"/>
      <family val="2"/>
    </font>
    <font>
      <b/>
      <sz val="10"/>
      <color theme="0"/>
      <name val="Calibri"/>
      <family val="2"/>
    </font>
    <font>
      <vertAlign val="superscript"/>
      <sz val="8"/>
      <name val="Calibri"/>
      <family val="2"/>
    </font>
    <font>
      <vertAlign val="subscript"/>
      <sz val="10"/>
      <name val="Calibri"/>
      <family val="2"/>
      <scheme val="minor"/>
    </font>
    <font>
      <sz val="8"/>
      <name val="Calibri"/>
      <family val="2"/>
    </font>
    <font>
      <vertAlign val="subscript"/>
      <sz val="8"/>
      <name val="Calibri"/>
      <family val="2"/>
    </font>
    <font>
      <sz val="11"/>
      <color indexed="8"/>
      <name val="Calibri"/>
      <family val="2"/>
    </font>
    <font>
      <sz val="11"/>
      <color indexed="9"/>
      <name val="Calibri"/>
      <family val="2"/>
    </font>
    <font>
      <sz val="9"/>
      <name val="Helv"/>
    </font>
    <font>
      <sz val="11"/>
      <color indexed="20"/>
      <name val="Calibri"/>
      <family val="2"/>
    </font>
    <font>
      <sz val="12"/>
      <name val="Helv"/>
    </font>
    <font>
      <b/>
      <sz val="11"/>
      <color indexed="52"/>
      <name val="Calibri"/>
      <family val="2"/>
    </font>
    <font>
      <b/>
      <sz val="11"/>
      <color indexed="9"/>
      <name val="Calibri"/>
      <family val="2"/>
    </font>
    <font>
      <sz val="12"/>
      <name val="Arial"/>
      <family val="2"/>
    </font>
    <font>
      <sz val="10"/>
      <name val="MS Serif"/>
      <family val="1"/>
    </font>
    <font>
      <sz val="10"/>
      <color indexed="16"/>
      <name val="MS Serif"/>
      <family val="1"/>
    </font>
    <font>
      <sz val="8"/>
      <name val="Arial"/>
      <family val="2"/>
    </font>
    <font>
      <i/>
      <sz val="11"/>
      <color indexed="23"/>
      <name val="Calibri"/>
      <family val="2"/>
    </font>
    <font>
      <sz val="11"/>
      <color indexed="17"/>
      <name val="Calibri"/>
      <family val="2"/>
    </font>
    <font>
      <b/>
      <sz val="10"/>
      <name val="Helv"/>
    </font>
    <font>
      <b/>
      <sz val="12"/>
      <name val="Arial"/>
      <family val="2"/>
    </font>
    <font>
      <b/>
      <sz val="18"/>
      <name val="Arial"/>
      <family val="2"/>
    </font>
    <font>
      <b/>
      <sz val="11"/>
      <color indexed="56"/>
      <name val="Calibri"/>
      <family val="2"/>
    </font>
    <font>
      <b/>
      <sz val="1"/>
      <color indexed="8"/>
      <name val="Courier"/>
      <family val="3"/>
    </font>
    <font>
      <sz val="11"/>
      <color indexed="62"/>
      <name val="Calibri"/>
      <family val="2"/>
    </font>
    <font>
      <sz val="11"/>
      <color indexed="52"/>
      <name val="Calibri"/>
      <family val="2"/>
    </font>
    <font>
      <sz val="11"/>
      <color indexed="60"/>
      <name val="Calibri"/>
      <family val="2"/>
    </font>
    <font>
      <sz val="12"/>
      <name val="Arial MT"/>
    </font>
    <font>
      <sz val="12"/>
      <name val="Tms Rmn"/>
    </font>
    <font>
      <sz val="10"/>
      <name val="Helv"/>
    </font>
    <font>
      <sz val="10"/>
      <name val="Geneva"/>
    </font>
    <font>
      <b/>
      <sz val="11"/>
      <color indexed="63"/>
      <name val="Calibri"/>
      <family val="2"/>
    </font>
    <font>
      <sz val="8"/>
      <name val="Helv"/>
    </font>
    <font>
      <b/>
      <sz val="8"/>
      <color indexed="8"/>
      <name val="Helv"/>
    </font>
    <font>
      <b/>
      <sz val="12"/>
      <name val="Helv"/>
    </font>
    <font>
      <sz val="11"/>
      <color indexed="10"/>
      <name val="Calibri"/>
      <family val="2"/>
    </font>
    <font>
      <b/>
      <sz val="10"/>
      <name val="Calibri"/>
      <family val="2"/>
      <scheme val="minor"/>
    </font>
    <font>
      <vertAlign val="superscript"/>
      <sz val="8"/>
      <name val="Calibri"/>
      <family val="2"/>
      <scheme val="minor"/>
    </font>
    <font>
      <sz val="8"/>
      <name val="Calibri"/>
      <family val="2"/>
      <scheme val="minor"/>
    </font>
    <font>
      <sz val="10"/>
      <name val="Arial"/>
    </font>
    <font>
      <b/>
      <vertAlign val="superscript"/>
      <sz val="10"/>
      <color theme="0"/>
      <name val="Calibri"/>
      <family val="2"/>
    </font>
    <font>
      <b/>
      <vertAlign val="superscript"/>
      <sz val="10"/>
      <color theme="0"/>
      <name val="Calibri"/>
      <family val="2"/>
      <scheme val="minor"/>
    </font>
    <font>
      <b/>
      <sz val="10"/>
      <color theme="1"/>
      <name val="Calibri"/>
      <family val="2"/>
      <scheme val="minor"/>
    </font>
    <font>
      <b/>
      <vertAlign val="subscript"/>
      <sz val="10"/>
      <color theme="1"/>
      <name val="Calibri"/>
      <family val="2"/>
      <scheme val="minor"/>
    </font>
    <font>
      <b/>
      <vertAlign val="superscript"/>
      <sz val="10"/>
      <color theme="1"/>
      <name val="Calibri"/>
      <family val="2"/>
      <scheme val="minor"/>
    </font>
    <font>
      <vertAlign val="superscript"/>
      <sz val="10"/>
      <color theme="1"/>
      <name val="Calibri"/>
      <family val="2"/>
    </font>
    <font>
      <sz val="18"/>
      <color theme="1"/>
      <name val="Calibri"/>
      <family val="2"/>
      <scheme val="minor"/>
    </font>
    <font>
      <b/>
      <sz val="7"/>
      <color theme="0"/>
      <name val="Calibri"/>
      <family val="2"/>
      <scheme val="minor"/>
    </font>
    <font>
      <vertAlign val="superscript"/>
      <sz val="10"/>
      <name val="Calibri"/>
      <family val="2"/>
      <scheme val="minor"/>
    </font>
    <font>
      <sz val="11"/>
      <color rgb="FF005596"/>
      <name val="Calibri"/>
      <family val="2"/>
      <scheme val="minor"/>
    </font>
    <font>
      <i/>
      <sz val="10"/>
      <name val="Calibri"/>
      <family val="2"/>
      <scheme val="minor"/>
    </font>
    <font>
      <sz val="10"/>
      <color indexed="9"/>
      <name val="Calibri"/>
      <family val="2"/>
    </font>
    <font>
      <b/>
      <sz val="12"/>
      <name val="Calibri"/>
      <family val="2"/>
    </font>
    <font>
      <b/>
      <vertAlign val="subscript"/>
      <sz val="10"/>
      <color theme="0"/>
      <name val="Calibri"/>
      <family val="2"/>
    </font>
    <font>
      <i/>
      <sz val="10"/>
      <name val="Calibri"/>
      <family val="2"/>
    </font>
    <font>
      <i/>
      <vertAlign val="subscript"/>
      <sz val="10"/>
      <name val="Calibri"/>
      <family val="2"/>
    </font>
  </fonts>
  <fills count="3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5596"/>
        <bgColor indexed="64"/>
      </patternFill>
    </fill>
    <fill>
      <patternFill patternType="solid">
        <fgColor rgb="FF00A2E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8"/>
      </patternFill>
    </fill>
    <fill>
      <patternFill patternType="solid">
        <fgColor indexed="26"/>
      </patternFill>
    </fill>
    <fill>
      <patternFill patternType="solid">
        <fgColor theme="3"/>
        <bgColor indexed="64"/>
      </patternFill>
    </fill>
  </fills>
  <borders count="8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double">
        <color indexed="0"/>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dotted">
        <color indexed="64"/>
      </bottom>
      <diagonal/>
    </border>
  </borders>
  <cellStyleXfs count="176">
    <xf numFmtId="0" fontId="0" fillId="0" borderId="0"/>
    <xf numFmtId="0" fontId="13" fillId="0" borderId="0"/>
    <xf numFmtId="0" fontId="13" fillId="0" borderId="0">
      <alignment vertical="top"/>
    </xf>
    <xf numFmtId="0" fontId="13" fillId="0" borderId="0">
      <alignment vertical="top"/>
    </xf>
    <xf numFmtId="0" fontId="13" fillId="0" borderId="0"/>
    <xf numFmtId="0" fontId="13" fillId="0" borderId="0"/>
    <xf numFmtId="0" fontId="13" fillId="0" borderId="0"/>
    <xf numFmtId="0" fontId="13" fillId="0" borderId="0"/>
    <xf numFmtId="0" fontId="13" fillId="0" borderId="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0" borderId="0" applyBorder="0"/>
    <xf numFmtId="0" fontId="28" fillId="7" borderId="0" applyNumberFormat="0" applyBorder="0" applyAlignment="0" applyProtection="0"/>
    <xf numFmtId="0" fontId="28" fillId="7" borderId="0" applyNumberFormat="0" applyBorder="0" applyAlignment="0" applyProtection="0"/>
    <xf numFmtId="0" fontId="29" fillId="0" borderId="0" applyFill="0" applyBorder="0" applyAlignment="0"/>
    <xf numFmtId="0" fontId="30" fillId="24" borderId="62" applyNumberFormat="0" applyAlignment="0" applyProtection="0"/>
    <xf numFmtId="0" fontId="30" fillId="24" borderId="62" applyNumberFormat="0" applyAlignment="0" applyProtection="0"/>
    <xf numFmtId="0" fontId="31" fillId="25" borderId="63" applyNumberFormat="0" applyAlignment="0" applyProtection="0"/>
    <xf numFmtId="0" fontId="31" fillId="25" borderId="63" applyNumberFormat="0" applyAlignment="0" applyProtection="0"/>
    <xf numFmtId="0" fontId="32" fillId="0" borderId="0"/>
    <xf numFmtId="43" fontId="13" fillId="0" borderId="0" applyFont="0" applyFill="0" applyBorder="0" applyAlignment="0" applyProtection="0"/>
    <xf numFmtId="3" fontId="13" fillId="0" borderId="0" applyFont="0" applyFill="0" applyBorder="0" applyAlignment="0" applyProtection="0"/>
    <xf numFmtId="0" fontId="33" fillId="0" borderId="0" applyNumberFormat="0" applyAlignment="0">
      <alignment horizontal="left"/>
    </xf>
    <xf numFmtId="170" fontId="13" fillId="0" borderId="0" applyFont="0" applyFill="0" applyBorder="0" applyAlignment="0" applyProtection="0"/>
    <xf numFmtId="5" fontId="13" fillId="0" borderId="0" applyFont="0" applyFill="0" applyBorder="0" applyAlignment="0" applyProtection="0"/>
    <xf numFmtId="0" fontId="13" fillId="0" borderId="0" applyFont="0" applyFill="0" applyBorder="0" applyAlignment="0" applyProtection="0"/>
    <xf numFmtId="0" fontId="34" fillId="0" borderId="0" applyNumberFormat="0" applyAlignment="0">
      <alignment horizontal="left"/>
    </xf>
    <xf numFmtId="0" fontId="35" fillId="0" borderId="0">
      <alignment horizontal="left" vertical="center"/>
    </xf>
    <xf numFmtId="0" fontId="36" fillId="0" borderId="0" applyNumberFormat="0" applyFill="0" applyBorder="0" applyAlignment="0" applyProtection="0"/>
    <xf numFmtId="0" fontId="36" fillId="0" borderId="0" applyNumberFormat="0" applyFill="0" applyBorder="0" applyAlignment="0" applyProtection="0"/>
    <xf numFmtId="2" fontId="13" fillId="0" borderId="0" applyFont="0" applyFill="0" applyBorder="0" applyAlignment="0" applyProtection="0"/>
    <xf numFmtId="0" fontId="27" fillId="0" borderId="0" applyNumberFormat="0" applyFill="0" applyBorder="0" applyAlignment="0" applyProtection="0">
      <alignment horizontal="left"/>
    </xf>
    <xf numFmtId="0" fontId="37" fillId="8" borderId="0" applyNumberFormat="0" applyBorder="0" applyAlignment="0" applyProtection="0"/>
    <xf numFmtId="0" fontId="37" fillId="8" borderId="0" applyNumberFormat="0" applyBorder="0" applyAlignment="0" applyProtection="0"/>
    <xf numFmtId="38" fontId="35" fillId="26" borderId="0" applyNumberFormat="0" applyBorder="0" applyAlignment="0" applyProtection="0"/>
    <xf numFmtId="0" fontId="38" fillId="0" borderId="0" applyNumberFormat="0" applyFill="0" applyBorder="0" applyAlignment="0" applyProtection="0">
      <alignment horizontal="left"/>
    </xf>
    <xf numFmtId="0" fontId="39" fillId="0" borderId="12" applyNumberFormat="0" applyAlignment="0" applyProtection="0">
      <alignment horizontal="left" vertical="center"/>
    </xf>
    <xf numFmtId="0" fontId="39" fillId="0" borderId="10">
      <alignment horizontal="left" vertical="center"/>
    </xf>
    <xf numFmtId="0" fontId="40" fillId="0" borderId="0" applyNumberFormat="0" applyFill="0" applyBorder="0" applyAlignment="0" applyProtection="0"/>
    <xf numFmtId="0" fontId="40" fillId="0" borderId="0" applyNumberFormat="0" applyFont="0" applyFill="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ont="0" applyFill="0" applyAlignment="0" applyProtection="0"/>
    <xf numFmtId="0" fontId="39" fillId="0" borderId="0" applyNumberFormat="0" applyFill="0" applyBorder="0" applyAlignment="0" applyProtection="0"/>
    <xf numFmtId="0" fontId="41" fillId="0" borderId="64" applyNumberFormat="0" applyFill="0" applyAlignment="0" applyProtection="0"/>
    <xf numFmtId="0" fontId="41" fillId="0" borderId="64"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1" fontId="42" fillId="0" borderId="0">
      <protection locked="0"/>
    </xf>
    <xf numFmtId="171" fontId="42" fillId="0" borderId="0">
      <protection locked="0"/>
    </xf>
    <xf numFmtId="10" fontId="35" fillId="27" borderId="29" applyNumberFormat="0" applyBorder="0" applyAlignment="0" applyProtection="0"/>
    <xf numFmtId="0" fontId="43" fillId="11" borderId="62" applyNumberFormat="0" applyAlignment="0" applyProtection="0"/>
    <xf numFmtId="0" fontId="43" fillId="11" borderId="62" applyNumberFormat="0" applyAlignment="0" applyProtection="0"/>
    <xf numFmtId="0" fontId="44" fillId="0" borderId="65" applyNumberFormat="0" applyFill="0" applyAlignment="0" applyProtection="0"/>
    <xf numFmtId="0" fontId="44" fillId="0" borderId="65" applyNumberFormat="0" applyFill="0" applyAlignment="0" applyProtection="0"/>
    <xf numFmtId="0" fontId="45" fillId="28" borderId="0" applyNumberFormat="0" applyBorder="0" applyAlignment="0" applyProtection="0"/>
    <xf numFmtId="0" fontId="45" fillId="28" borderId="0" applyNumberFormat="0" applyBorder="0" applyAlignment="0" applyProtection="0"/>
    <xf numFmtId="0" fontId="46" fillId="0" borderId="0"/>
    <xf numFmtId="0" fontId="47" fillId="0" borderId="0"/>
    <xf numFmtId="0" fontId="48" fillId="29" borderId="0"/>
    <xf numFmtId="0" fontId="46" fillId="0" borderId="0"/>
    <xf numFmtId="0" fontId="46" fillId="0" borderId="0"/>
    <xf numFmtId="0" fontId="46" fillId="0" borderId="0"/>
    <xf numFmtId="0" fontId="4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30" borderId="66" applyNumberFormat="0" applyFont="0" applyAlignment="0" applyProtection="0"/>
    <xf numFmtId="0" fontId="13" fillId="30" borderId="66" applyNumberFormat="0" applyFont="0" applyAlignment="0" applyProtection="0"/>
    <xf numFmtId="0" fontId="50" fillId="24" borderId="67" applyNumberFormat="0" applyAlignment="0" applyProtection="0"/>
    <xf numFmtId="0" fontId="50" fillId="24" borderId="67" applyNumberFormat="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2" fillId="0" borderId="0"/>
    <xf numFmtId="14" fontId="51" fillId="0" borderId="0" applyNumberFormat="0" applyFill="0" applyBorder="0" applyAlignment="0" applyProtection="0">
      <alignment horizontal="left"/>
    </xf>
    <xf numFmtId="0" fontId="13" fillId="0" borderId="0"/>
    <xf numFmtId="0" fontId="46" fillId="0" borderId="0"/>
    <xf numFmtId="0" fontId="46" fillId="0" borderId="0"/>
    <xf numFmtId="40" fontId="52" fillId="0" borderId="0" applyBorder="0">
      <alignment horizontal="right"/>
    </xf>
    <xf numFmtId="0" fontId="53" fillId="0" borderId="0" applyNumberFormat="0" applyFill="0" applyBorder="0" applyProtection="0">
      <alignment horizontal="centerContinuous"/>
    </xf>
    <xf numFmtId="0" fontId="53" fillId="0" borderId="0" applyNumberFormat="0" applyFill="0" applyBorder="0" applyProtection="0">
      <alignment horizontal="centerContinuous"/>
    </xf>
    <xf numFmtId="0" fontId="13" fillId="0" borderId="68" applyNumberFormat="0" applyFont="0" applyFill="0" applyAlignment="0" applyProtection="0"/>
    <xf numFmtId="0" fontId="13" fillId="0" borderId="69" applyNumberFormat="0" applyFont="0" applyBorder="0" applyAlignment="0" applyProtection="0"/>
    <xf numFmtId="0" fontId="13" fillId="0" borderId="68" applyNumberFormat="0" applyFont="0" applyFill="0" applyAlignment="0" applyProtection="0"/>
    <xf numFmtId="0" fontId="32" fillId="0" borderId="0"/>
    <xf numFmtId="0" fontId="32" fillId="0" borderId="0"/>
    <xf numFmtId="0" fontId="54" fillId="0" borderId="0" applyNumberFormat="0" applyFill="0" applyBorder="0" applyAlignment="0" applyProtection="0"/>
    <xf numFmtId="0" fontId="54" fillId="0" borderId="0" applyNumberFormat="0" applyFill="0" applyBorder="0" applyAlignment="0" applyProtection="0"/>
    <xf numFmtId="0" fontId="58" fillId="0" borderId="0"/>
    <xf numFmtId="43" fontId="3" fillId="0" borderId="0" applyFont="0" applyFill="0" applyBorder="0" applyAlignment="0" applyProtection="0"/>
  </cellStyleXfs>
  <cellXfs count="720">
    <xf numFmtId="0" fontId="0" fillId="0" borderId="0" xfId="0"/>
    <xf numFmtId="0" fontId="0" fillId="0" borderId="0" xfId="0" applyBorder="1"/>
    <xf numFmtId="2" fontId="4" fillId="0" borderId="28" xfId="0" applyNumberFormat="1" applyFont="1" applyBorder="1" applyAlignment="1">
      <alignment horizontal="center"/>
    </xf>
    <xf numFmtId="2" fontId="4" fillId="0" borderId="29" xfId="0" applyNumberFormat="1" applyFont="1" applyBorder="1" applyAlignment="1">
      <alignment horizontal="center"/>
    </xf>
    <xf numFmtId="2" fontId="4" fillId="0" borderId="30" xfId="0" applyNumberFormat="1" applyFont="1" applyBorder="1" applyAlignment="1">
      <alignment horizontal="center"/>
    </xf>
    <xf numFmtId="164" fontId="4" fillId="0" borderId="28" xfId="0" applyNumberFormat="1" applyFont="1" applyBorder="1" applyAlignment="1">
      <alignment horizontal="center"/>
    </xf>
    <xf numFmtId="1" fontId="4" fillId="0" borderId="26" xfId="0" applyNumberFormat="1" applyFont="1" applyBorder="1" applyAlignment="1">
      <alignment horizontal="center"/>
    </xf>
    <xf numFmtId="1" fontId="4" fillId="0" borderId="28" xfId="0" applyNumberFormat="1" applyFont="1" applyBorder="1" applyAlignment="1">
      <alignment horizontal="center"/>
    </xf>
    <xf numFmtId="2" fontId="4" fillId="0" borderId="18" xfId="0" applyNumberFormat="1" applyFont="1" applyBorder="1" applyAlignment="1">
      <alignment horizontal="center"/>
    </xf>
    <xf numFmtId="2" fontId="4" fillId="0" borderId="27" xfId="0" applyNumberFormat="1" applyFont="1" applyBorder="1" applyAlignment="1">
      <alignment horizontal="center"/>
    </xf>
    <xf numFmtId="1" fontId="4" fillId="0" borderId="17" xfId="0" applyNumberFormat="1" applyFont="1" applyBorder="1" applyAlignment="1">
      <alignment horizontal="center"/>
    </xf>
    <xf numFmtId="0" fontId="4" fillId="4" borderId="12" xfId="0" applyFont="1" applyFill="1" applyBorder="1"/>
    <xf numFmtId="0" fontId="4" fillId="4" borderId="11" xfId="0" applyFont="1" applyFill="1" applyBorder="1"/>
    <xf numFmtId="0" fontId="4" fillId="4" borderId="13" xfId="0" applyFont="1" applyFill="1" applyBorder="1"/>
    <xf numFmtId="0" fontId="4" fillId="4" borderId="21" xfId="0" applyFont="1" applyFill="1" applyBorder="1"/>
    <xf numFmtId="0" fontId="7" fillId="4" borderId="34" xfId="0" applyFont="1" applyFill="1" applyBorder="1" applyAlignment="1">
      <alignment horizontal="center"/>
    </xf>
    <xf numFmtId="0" fontId="7" fillId="4" borderId="21" xfId="0" applyFont="1" applyFill="1" applyBorder="1" applyAlignment="1">
      <alignment horizontal="center"/>
    </xf>
    <xf numFmtId="0" fontId="7" fillId="4" borderId="23" xfId="0" applyFont="1" applyFill="1" applyBorder="1"/>
    <xf numFmtId="0" fontId="7" fillId="4" borderId="22" xfId="0" applyFont="1" applyFill="1" applyBorder="1"/>
    <xf numFmtId="0" fontId="7" fillId="4" borderId="24" xfId="0" applyFont="1" applyFill="1" applyBorder="1"/>
    <xf numFmtId="0" fontId="7" fillId="4" borderId="47" xfId="0" applyFont="1" applyFill="1" applyBorder="1"/>
    <xf numFmtId="166" fontId="4" fillId="0" borderId="48" xfId="0" applyNumberFormat="1" applyFont="1" applyBorder="1" applyAlignment="1">
      <alignment horizontal="center"/>
    </xf>
    <xf numFmtId="1" fontId="4" fillId="0" borderId="44" xfId="0" applyNumberFormat="1" applyFont="1" applyBorder="1" applyAlignment="1">
      <alignment horizontal="center"/>
    </xf>
    <xf numFmtId="166" fontId="4" fillId="0" borderId="18" xfId="0" applyNumberFormat="1" applyFont="1" applyBorder="1" applyAlignment="1">
      <alignment horizontal="center"/>
    </xf>
    <xf numFmtId="2" fontId="4" fillId="0" borderId="37" xfId="0" applyNumberFormat="1" applyFont="1" applyBorder="1" applyAlignment="1">
      <alignment horizontal="center"/>
    </xf>
    <xf numFmtId="0" fontId="4" fillId="3" borderId="5" xfId="0" applyFont="1" applyFill="1" applyBorder="1"/>
    <xf numFmtId="0" fontId="4" fillId="3" borderId="16" xfId="0" applyFont="1" applyFill="1" applyBorder="1"/>
    <xf numFmtId="0" fontId="4" fillId="3" borderId="19" xfId="0" applyFont="1" applyFill="1" applyBorder="1"/>
    <xf numFmtId="0" fontId="4" fillId="3" borderId="18" xfId="0" applyFont="1" applyFill="1" applyBorder="1" applyAlignment="1">
      <alignment horizontal="right"/>
    </xf>
    <xf numFmtId="164" fontId="4" fillId="3" borderId="10" xfId="0" applyNumberFormat="1" applyFont="1" applyFill="1" applyBorder="1"/>
    <xf numFmtId="0" fontId="4" fillId="5" borderId="4" xfId="0" applyFont="1" applyFill="1" applyBorder="1"/>
    <xf numFmtId="0" fontId="4" fillId="5" borderId="0" xfId="0" applyFont="1" applyFill="1" applyBorder="1"/>
    <xf numFmtId="0" fontId="4" fillId="5" borderId="5" xfId="0" applyFont="1" applyFill="1" applyBorder="1"/>
    <xf numFmtId="0" fontId="4" fillId="3" borderId="25" xfId="0" applyFont="1" applyFill="1" applyBorder="1"/>
    <xf numFmtId="0" fontId="4" fillId="3" borderId="36" xfId="0" applyFont="1" applyFill="1" applyBorder="1" applyAlignment="1">
      <alignment horizontal="right"/>
    </xf>
    <xf numFmtId="164" fontId="4" fillId="3" borderId="51" xfId="0" applyNumberFormat="1" applyFont="1" applyFill="1" applyBorder="1"/>
    <xf numFmtId="0" fontId="4" fillId="3" borderId="0" xfId="0" applyFont="1" applyFill="1" applyBorder="1" applyAlignment="1">
      <alignment horizontal="right"/>
    </xf>
    <xf numFmtId="0" fontId="4" fillId="3" borderId="33" xfId="0" applyFont="1" applyFill="1" applyBorder="1" applyAlignment="1">
      <alignment horizontal="right"/>
    </xf>
    <xf numFmtId="0" fontId="4" fillId="3" borderId="10" xfId="0" applyFont="1" applyFill="1" applyBorder="1" applyAlignment="1">
      <alignment horizontal="right"/>
    </xf>
    <xf numFmtId="0" fontId="4" fillId="3" borderId="27" xfId="0" applyFont="1" applyFill="1" applyBorder="1"/>
    <xf numFmtId="0" fontId="4" fillId="3" borderId="17" xfId="0" applyFont="1" applyFill="1" applyBorder="1"/>
    <xf numFmtId="0" fontId="4" fillId="3" borderId="26" xfId="0" applyFont="1" applyFill="1" applyBorder="1" applyAlignment="1">
      <alignment horizontal="left"/>
    </xf>
    <xf numFmtId="0" fontId="4" fillId="3" borderId="18" xfId="0" applyFont="1" applyFill="1" applyBorder="1" applyAlignment="1">
      <alignment horizontal="left"/>
    </xf>
    <xf numFmtId="0" fontId="4" fillId="3" borderId="26" xfId="0" applyFont="1" applyFill="1" applyBorder="1"/>
    <xf numFmtId="0" fontId="4" fillId="3" borderId="41" xfId="0" applyFont="1" applyFill="1" applyBorder="1" applyAlignment="1">
      <alignment horizontal="right"/>
    </xf>
    <xf numFmtId="0" fontId="4" fillId="3" borderId="9" xfId="0" applyFont="1" applyFill="1" applyBorder="1" applyAlignment="1">
      <alignment horizontal="right"/>
    </xf>
    <xf numFmtId="0" fontId="4" fillId="3" borderId="18" xfId="0" applyFont="1" applyFill="1" applyBorder="1"/>
    <xf numFmtId="0" fontId="4" fillId="3" borderId="37" xfId="0" applyFont="1" applyFill="1" applyBorder="1"/>
    <xf numFmtId="0" fontId="4" fillId="3" borderId="52" xfId="0" applyFont="1" applyFill="1" applyBorder="1" applyAlignment="1">
      <alignment horizontal="right"/>
    </xf>
    <xf numFmtId="0" fontId="4" fillId="3" borderId="39" xfId="0" applyFont="1" applyFill="1" applyBorder="1"/>
    <xf numFmtId="0" fontId="4" fillId="3" borderId="53" xfId="0" applyFont="1" applyFill="1" applyBorder="1"/>
    <xf numFmtId="0" fontId="4" fillId="3" borderId="38" xfId="0" applyFont="1" applyFill="1" applyBorder="1" applyAlignment="1">
      <alignment horizontal="right"/>
    </xf>
    <xf numFmtId="0" fontId="4" fillId="3" borderId="46" xfId="0" applyFont="1" applyFill="1" applyBorder="1"/>
    <xf numFmtId="11" fontId="4" fillId="3" borderId="10" xfId="0" applyNumberFormat="1" applyFont="1" applyFill="1" applyBorder="1" applyAlignment="1">
      <alignment horizontal="right"/>
    </xf>
    <xf numFmtId="11" fontId="4" fillId="3" borderId="10" xfId="0" applyNumberFormat="1" applyFont="1" applyFill="1" applyBorder="1"/>
    <xf numFmtId="164" fontId="4" fillId="0" borderId="9" xfId="0" applyNumberFormat="1" applyFont="1" applyBorder="1"/>
    <xf numFmtId="0" fontId="4" fillId="3" borderId="49" xfId="0" applyFont="1" applyFill="1" applyBorder="1" applyAlignment="1">
      <alignment horizontal="right"/>
    </xf>
    <xf numFmtId="1" fontId="4" fillId="0" borderId="7" xfId="0" applyNumberFormat="1" applyFont="1" applyBorder="1"/>
    <xf numFmtId="0" fontId="4" fillId="3" borderId="37" xfId="0" applyFont="1" applyFill="1" applyBorder="1" applyAlignment="1">
      <alignment horizontal="right"/>
    </xf>
    <xf numFmtId="164" fontId="4" fillId="3" borderId="54" xfId="0" applyNumberFormat="1" applyFont="1" applyFill="1" applyBorder="1"/>
    <xf numFmtId="0" fontId="4" fillId="3" borderId="26" xfId="0" applyFont="1" applyFill="1" applyBorder="1" applyAlignment="1">
      <alignment horizontal="right"/>
    </xf>
    <xf numFmtId="1" fontId="4" fillId="3" borderId="41" xfId="0" applyNumberFormat="1" applyFont="1" applyFill="1" applyBorder="1"/>
    <xf numFmtId="0" fontId="10" fillId="3" borderId="18" xfId="0" applyFont="1" applyFill="1" applyBorder="1" applyAlignment="1">
      <alignment horizontal="left"/>
    </xf>
    <xf numFmtId="0" fontId="10" fillId="3" borderId="37" xfId="0" applyFont="1" applyFill="1" applyBorder="1" applyAlignment="1">
      <alignment horizontal="left"/>
    </xf>
    <xf numFmtId="0" fontId="11" fillId="0" borderId="0" xfId="0" applyFont="1"/>
    <xf numFmtId="0" fontId="12" fillId="3" borderId="18" xfId="0" applyFont="1" applyFill="1" applyBorder="1" applyAlignment="1">
      <alignment horizontal="left"/>
    </xf>
    <xf numFmtId="0" fontId="12" fillId="3" borderId="37" xfId="0" applyFont="1" applyFill="1" applyBorder="1" applyAlignment="1">
      <alignment horizontal="left"/>
    </xf>
    <xf numFmtId="11" fontId="4" fillId="0" borderId="5" xfId="0" applyNumberFormat="1" applyFont="1" applyBorder="1"/>
    <xf numFmtId="11" fontId="4" fillId="3" borderId="28" xfId="0" applyNumberFormat="1" applyFont="1" applyFill="1" applyBorder="1" applyAlignment="1">
      <alignment horizontal="right"/>
    </xf>
    <xf numFmtId="11" fontId="4" fillId="3" borderId="29" xfId="0" applyNumberFormat="1" applyFont="1" applyFill="1" applyBorder="1" applyAlignment="1">
      <alignment horizontal="right"/>
    </xf>
    <xf numFmtId="11" fontId="10" fillId="3" borderId="50" xfId="0" applyNumberFormat="1" applyFont="1" applyFill="1" applyBorder="1" applyAlignment="1">
      <alignment horizontal="right"/>
    </xf>
    <xf numFmtId="11" fontId="10" fillId="3" borderId="50" xfId="0" quotePrefix="1" applyNumberFormat="1" applyFont="1" applyFill="1" applyBorder="1" applyAlignment="1">
      <alignment horizontal="center"/>
    </xf>
    <xf numFmtId="11" fontId="4" fillId="3" borderId="50" xfId="0" applyNumberFormat="1" applyFont="1" applyFill="1" applyBorder="1" applyAlignment="1">
      <alignment horizontal="right"/>
    </xf>
    <xf numFmtId="11" fontId="4" fillId="0" borderId="30" xfId="0" applyNumberFormat="1" applyFont="1" applyBorder="1"/>
    <xf numFmtId="11" fontId="10" fillId="0" borderId="30" xfId="0" applyNumberFormat="1" applyFont="1" applyBorder="1"/>
    <xf numFmtId="11" fontId="4" fillId="0" borderId="28" xfId="0" applyNumberFormat="1" applyFont="1" applyBorder="1"/>
    <xf numFmtId="11" fontId="4" fillId="0" borderId="16" xfId="0" applyNumberFormat="1" applyFont="1" applyBorder="1"/>
    <xf numFmtId="11" fontId="4" fillId="0" borderId="29" xfId="0" applyNumberFormat="1" applyFont="1" applyBorder="1"/>
    <xf numFmtId="11" fontId="4" fillId="0" borderId="19" xfId="0" applyNumberFormat="1" applyFont="1" applyBorder="1"/>
    <xf numFmtId="11" fontId="10" fillId="0" borderId="29" xfId="0" applyNumberFormat="1" applyFont="1" applyBorder="1"/>
    <xf numFmtId="11" fontId="4" fillId="0" borderId="42" xfId="0" applyNumberFormat="1" applyFont="1" applyBorder="1"/>
    <xf numFmtId="11" fontId="4" fillId="0" borderId="56" xfId="0" applyNumberFormat="1" applyFont="1" applyBorder="1"/>
    <xf numFmtId="11" fontId="10" fillId="0" borderId="50" xfId="0" applyNumberFormat="1" applyFont="1" applyBorder="1"/>
    <xf numFmtId="11" fontId="4" fillId="0" borderId="50" xfId="0" applyNumberFormat="1" applyFont="1" applyBorder="1"/>
    <xf numFmtId="0" fontId="4" fillId="0" borderId="5" xfId="0" applyFont="1" applyBorder="1" applyAlignment="1">
      <alignment horizontal="center"/>
    </xf>
    <xf numFmtId="0" fontId="4" fillId="0" borderId="42" xfId="0" applyFont="1" applyBorder="1" applyAlignment="1">
      <alignment horizontal="center"/>
    </xf>
    <xf numFmtId="0" fontId="4" fillId="0" borderId="60" xfId="0" applyFont="1" applyBorder="1" applyAlignment="1">
      <alignment horizontal="center"/>
    </xf>
    <xf numFmtId="11" fontId="4" fillId="0" borderId="10" xfId="0" applyNumberFormat="1" applyFont="1" applyBorder="1"/>
    <xf numFmtId="0" fontId="14" fillId="0" borderId="0" xfId="1" applyFont="1" applyAlignment="1">
      <alignment vertical="center"/>
    </xf>
    <xf numFmtId="0" fontId="15" fillId="0" borderId="0" xfId="1" applyFont="1" applyAlignment="1">
      <alignment vertical="center"/>
    </xf>
    <xf numFmtId="0" fontId="16" fillId="0" borderId="0" xfId="1" applyFont="1" applyBorder="1" applyAlignment="1">
      <alignment vertical="center"/>
    </xf>
    <xf numFmtId="0" fontId="15" fillId="0" borderId="0" xfId="1" applyFont="1" applyBorder="1" applyAlignment="1">
      <alignment vertical="center"/>
    </xf>
    <xf numFmtId="0" fontId="16" fillId="0" borderId="0" xfId="1" applyFont="1" applyBorder="1" applyAlignment="1">
      <alignment horizontal="right" vertical="center"/>
    </xf>
    <xf numFmtId="0" fontId="17" fillId="0" borderId="0" xfId="2" applyFont="1" applyAlignment="1">
      <alignment vertical="center"/>
    </xf>
    <xf numFmtId="0" fontId="17" fillId="0" borderId="0" xfId="2" applyFont="1" applyAlignment="1">
      <alignment horizontal="center" vertical="center"/>
    </xf>
    <xf numFmtId="0" fontId="17" fillId="0" borderId="0" xfId="2" applyFont="1" applyBorder="1" applyAlignment="1">
      <alignment horizontal="center" vertical="center"/>
    </xf>
    <xf numFmtId="0" fontId="15" fillId="0" borderId="0" xfId="2" applyFont="1" applyBorder="1" applyAlignment="1">
      <alignment horizontal="center" vertical="center"/>
    </xf>
    <xf numFmtId="2" fontId="15" fillId="0" borderId="0" xfId="2" applyNumberFormat="1" applyFont="1" applyBorder="1" applyAlignment="1">
      <alignment horizontal="center" vertical="center"/>
    </xf>
    <xf numFmtId="0" fontId="15" fillId="0" borderId="0" xfId="2" applyFont="1" applyBorder="1" applyAlignment="1">
      <alignment vertical="center"/>
    </xf>
    <xf numFmtId="0" fontId="15" fillId="0" borderId="0" xfId="2" applyFont="1" applyAlignment="1">
      <alignment vertical="center"/>
    </xf>
    <xf numFmtId="0" fontId="17" fillId="0" borderId="10" xfId="1" applyFont="1" applyBorder="1" applyAlignment="1">
      <alignment vertical="center"/>
    </xf>
    <xf numFmtId="0" fontId="17" fillId="0" borderId="10" xfId="3" applyFont="1" applyBorder="1" applyAlignment="1">
      <alignment horizontal="centerContinuous" vertical="center"/>
    </xf>
    <xf numFmtId="0" fontId="17" fillId="0" borderId="10" xfId="2" applyFont="1" applyBorder="1" applyAlignment="1">
      <alignment horizontal="center" vertical="center"/>
    </xf>
    <xf numFmtId="0" fontId="17" fillId="0" borderId="33" xfId="1" applyFont="1" applyBorder="1" applyAlignment="1">
      <alignment horizontal="left" vertical="center"/>
    </xf>
    <xf numFmtId="165" fontId="15" fillId="0" borderId="33" xfId="1" applyNumberFormat="1" applyFont="1" applyBorder="1" applyAlignment="1">
      <alignment horizontal="center" vertical="center"/>
    </xf>
    <xf numFmtId="11" fontId="15" fillId="0" borderId="33" xfId="1" applyNumberFormat="1" applyFont="1" applyBorder="1" applyAlignment="1">
      <alignment horizontal="center" vertical="center"/>
    </xf>
    <xf numFmtId="0" fontId="15" fillId="0" borderId="33" xfId="1" applyFont="1" applyBorder="1" applyAlignment="1">
      <alignment vertical="center"/>
    </xf>
    <xf numFmtId="0" fontId="15" fillId="0" borderId="0" xfId="1" applyFont="1" applyFill="1" applyBorder="1" applyAlignment="1">
      <alignment vertical="center"/>
    </xf>
    <xf numFmtId="1" fontId="15" fillId="0" borderId="0" xfId="1" applyNumberFormat="1" applyFont="1" applyFill="1" applyAlignment="1">
      <alignment vertical="center"/>
    </xf>
    <xf numFmtId="0" fontId="18" fillId="0" borderId="0" xfId="1" applyFont="1" applyAlignment="1">
      <alignment vertical="center"/>
    </xf>
    <xf numFmtId="2" fontId="15" fillId="0" borderId="0" xfId="1" applyNumberFormat="1" applyFont="1" applyFill="1" applyAlignment="1">
      <alignment vertical="center"/>
    </xf>
    <xf numFmtId="3" fontId="15" fillId="0" borderId="0" xfId="1" applyNumberFormat="1" applyFont="1" applyAlignment="1">
      <alignment vertical="center"/>
    </xf>
    <xf numFmtId="165" fontId="15" fillId="0" borderId="0" xfId="1" applyNumberFormat="1" applyFont="1" applyAlignment="1">
      <alignment vertical="center"/>
    </xf>
    <xf numFmtId="0" fontId="15" fillId="0" borderId="0" xfId="1" applyFont="1" applyBorder="1" applyAlignment="1">
      <alignment horizontal="left" vertical="center"/>
    </xf>
    <xf numFmtId="0" fontId="15" fillId="0" borderId="0" xfId="1" applyFont="1" applyFill="1" applyBorder="1" applyAlignment="1">
      <alignment horizontal="center" vertical="center"/>
    </xf>
    <xf numFmtId="0" fontId="17" fillId="0" borderId="0" xfId="4" applyFont="1" applyAlignment="1">
      <alignment vertical="center"/>
    </xf>
    <xf numFmtId="0" fontId="15" fillId="0" borderId="32" xfId="1" applyFont="1" applyBorder="1" applyAlignment="1">
      <alignment vertical="center"/>
    </xf>
    <xf numFmtId="1" fontId="15" fillId="0" borderId="36" xfId="1" applyNumberFormat="1" applyFont="1" applyFill="1" applyBorder="1" applyAlignment="1">
      <alignment horizontal="center" vertical="center"/>
    </xf>
    <xf numFmtId="11" fontId="15" fillId="0" borderId="60" xfId="1" applyNumberFormat="1" applyFont="1" applyFill="1" applyBorder="1" applyAlignment="1">
      <alignment horizontal="center" vertical="center"/>
    </xf>
    <xf numFmtId="167" fontId="15" fillId="0" borderId="0" xfId="1" applyNumberFormat="1" applyFont="1" applyAlignment="1">
      <alignment vertical="center"/>
    </xf>
    <xf numFmtId="0" fontId="10" fillId="0" borderId="20" xfId="1" applyFont="1" applyBorder="1" applyAlignment="1">
      <alignment vertical="center"/>
    </xf>
    <xf numFmtId="1" fontId="15" fillId="0" borderId="18" xfId="1" applyNumberFormat="1" applyFont="1" applyFill="1" applyBorder="1" applyAlignment="1">
      <alignment horizontal="center" vertical="center"/>
    </xf>
    <xf numFmtId="0" fontId="21" fillId="0" borderId="29" xfId="1" applyNumberFormat="1" applyFont="1" applyFill="1" applyBorder="1" applyAlignment="1">
      <alignment horizontal="center" vertical="center"/>
    </xf>
    <xf numFmtId="11" fontId="15" fillId="0" borderId="42" xfId="1" applyNumberFormat="1" applyFont="1" applyFill="1" applyBorder="1" applyAlignment="1">
      <alignment horizontal="center" vertical="center"/>
    </xf>
    <xf numFmtId="0" fontId="15" fillId="0" borderId="20" xfId="1" applyFont="1" applyBorder="1" applyAlignment="1">
      <alignment vertical="center"/>
    </xf>
    <xf numFmtId="164" fontId="15" fillId="0" borderId="18" xfId="1" applyNumberFormat="1" applyFont="1" applyFill="1" applyBorder="1" applyAlignment="1">
      <alignment horizontal="center" vertical="center"/>
    </xf>
    <xf numFmtId="0" fontId="15" fillId="0" borderId="45" xfId="1" applyFont="1" applyBorder="1" applyAlignment="1">
      <alignment vertical="center"/>
    </xf>
    <xf numFmtId="2" fontId="15" fillId="0" borderId="18" xfId="1" applyNumberFormat="1" applyFont="1" applyFill="1" applyBorder="1" applyAlignment="1">
      <alignment horizontal="center" vertical="center"/>
    </xf>
    <xf numFmtId="3" fontId="21" fillId="0" borderId="29" xfId="1" applyNumberFormat="1" applyFont="1" applyFill="1" applyBorder="1" applyAlignment="1">
      <alignment horizontal="center" vertical="center"/>
    </xf>
    <xf numFmtId="168" fontId="15" fillId="0" borderId="18" xfId="1" applyNumberFormat="1" applyFont="1" applyFill="1" applyBorder="1" applyAlignment="1">
      <alignment horizontal="center" vertical="center"/>
    </xf>
    <xf numFmtId="0" fontId="23" fillId="0" borderId="45" xfId="1" applyFont="1" applyBorder="1" applyAlignment="1">
      <alignment horizontal="left" vertical="center"/>
    </xf>
    <xf numFmtId="0" fontId="23" fillId="0" borderId="0" xfId="1" applyFont="1" applyAlignment="1">
      <alignment vertical="center"/>
    </xf>
    <xf numFmtId="167" fontId="23" fillId="0" borderId="0" xfId="1" applyNumberFormat="1" applyFont="1" applyAlignment="1">
      <alignment vertical="center"/>
    </xf>
    <xf numFmtId="0" fontId="23" fillId="0" borderId="0" xfId="1" quotePrefix="1" applyFont="1" applyAlignment="1">
      <alignment vertical="center"/>
    </xf>
    <xf numFmtId="169" fontId="23" fillId="0" borderId="18" xfId="1" applyNumberFormat="1" applyFont="1" applyFill="1" applyBorder="1" applyAlignment="1">
      <alignment horizontal="center" vertical="center"/>
    </xf>
    <xf numFmtId="11" fontId="23" fillId="0" borderId="42" xfId="1" applyNumberFormat="1" applyFont="1" applyFill="1" applyBorder="1" applyAlignment="1">
      <alignment horizontal="center" vertical="center"/>
    </xf>
    <xf numFmtId="3" fontId="21" fillId="0" borderId="58" xfId="1" applyNumberFormat="1" applyFont="1" applyFill="1" applyBorder="1" applyAlignment="1">
      <alignment horizontal="center" vertical="center"/>
    </xf>
    <xf numFmtId="0" fontId="10" fillId="0" borderId="0" xfId="2" applyFont="1" applyFill="1" applyAlignment="1">
      <alignment vertical="center"/>
    </xf>
    <xf numFmtId="0" fontId="17" fillId="0" borderId="0" xfId="6" applyFont="1" applyBorder="1" applyAlignment="1">
      <alignment vertical="center"/>
    </xf>
    <xf numFmtId="0" fontId="15" fillId="0" borderId="0" xfId="6" applyFont="1" applyAlignment="1">
      <alignment vertical="center"/>
    </xf>
    <xf numFmtId="0" fontId="15" fillId="0" borderId="0" xfId="6" applyFont="1" applyAlignment="1">
      <alignment horizontal="right" vertical="center"/>
    </xf>
    <xf numFmtId="0" fontId="15" fillId="0" borderId="0" xfId="6" applyFont="1" applyAlignment="1">
      <alignment horizontal="left" vertical="center"/>
    </xf>
    <xf numFmtId="0" fontId="5" fillId="3" borderId="5" xfId="0" applyFont="1" applyFill="1" applyBorder="1"/>
    <xf numFmtId="0" fontId="5" fillId="3" borderId="19" xfId="0" applyFont="1" applyFill="1" applyBorder="1"/>
    <xf numFmtId="11" fontId="4" fillId="3" borderId="54" xfId="0" applyNumberFormat="1" applyFont="1" applyFill="1" applyBorder="1"/>
    <xf numFmtId="2" fontId="15" fillId="0" borderId="37" xfId="1" applyNumberFormat="1" applyFont="1" applyFill="1" applyBorder="1" applyAlignment="1">
      <alignment horizontal="center" vertical="center"/>
    </xf>
    <xf numFmtId="3" fontId="21" fillId="0" borderId="50" xfId="1" applyNumberFormat="1" applyFont="1" applyFill="1" applyBorder="1" applyAlignment="1">
      <alignment horizontal="center" vertical="center"/>
    </xf>
    <xf numFmtId="11" fontId="15" fillId="0" borderId="56" xfId="1" applyNumberFormat="1" applyFont="1" applyFill="1" applyBorder="1" applyAlignment="1">
      <alignment horizontal="center" vertical="center"/>
    </xf>
    <xf numFmtId="0" fontId="23" fillId="0" borderId="1" xfId="1" applyFont="1" applyBorder="1" applyAlignment="1">
      <alignment horizontal="left" vertical="center"/>
    </xf>
    <xf numFmtId="3" fontId="23" fillId="0" borderId="26" xfId="1" applyNumberFormat="1" applyFont="1" applyFill="1" applyBorder="1" applyAlignment="1">
      <alignment horizontal="center" vertical="center"/>
    </xf>
    <xf numFmtId="0" fontId="21" fillId="0" borderId="28" xfId="1" applyNumberFormat="1" applyFont="1" applyFill="1" applyBorder="1" applyAlignment="1">
      <alignment horizontal="center" vertical="center"/>
    </xf>
    <xf numFmtId="2" fontId="23" fillId="0" borderId="40" xfId="1" applyNumberFormat="1" applyFont="1" applyFill="1" applyBorder="1" applyAlignment="1">
      <alignment horizontal="center" vertical="center"/>
    </xf>
    <xf numFmtId="4" fontId="23" fillId="0" borderId="16" xfId="1" applyNumberFormat="1" applyFont="1" applyBorder="1" applyAlignment="1">
      <alignment horizontal="center" vertical="center"/>
    </xf>
    <xf numFmtId="0" fontId="15" fillId="0" borderId="53" xfId="1" applyFont="1" applyBorder="1" applyAlignment="1">
      <alignment vertical="center"/>
    </xf>
    <xf numFmtId="4" fontId="15" fillId="0" borderId="57" xfId="1" quotePrefix="1" applyNumberFormat="1" applyFont="1" applyBorder="1" applyAlignment="1">
      <alignment horizontal="center" vertical="center"/>
    </xf>
    <xf numFmtId="3" fontId="15" fillId="0" borderId="46" xfId="1" applyNumberFormat="1" applyFont="1" applyBorder="1" applyAlignment="1">
      <alignment horizontal="center" vertical="center"/>
    </xf>
    <xf numFmtId="2" fontId="15" fillId="0" borderId="0" xfId="1" applyNumberFormat="1" applyFont="1" applyAlignment="1">
      <alignment vertical="center"/>
    </xf>
    <xf numFmtId="0" fontId="7" fillId="4" borderId="35" xfId="0" applyFont="1" applyFill="1" applyBorder="1" applyAlignment="1">
      <alignment horizontal="center" vertical="center"/>
    </xf>
    <xf numFmtId="0" fontId="7" fillId="4" borderId="27" xfId="0" applyFont="1" applyFill="1" applyBorder="1" applyAlignment="1">
      <alignment horizontal="center" vertical="center"/>
    </xf>
    <xf numFmtId="0" fontId="15" fillId="0" borderId="2" xfId="1" applyFont="1" applyBorder="1" applyAlignment="1">
      <alignment vertical="center"/>
    </xf>
    <xf numFmtId="3" fontId="17" fillId="0" borderId="2" xfId="1" applyNumberFormat="1" applyFont="1" applyBorder="1" applyAlignment="1">
      <alignment vertical="center"/>
    </xf>
    <xf numFmtId="0" fontId="15" fillId="0" borderId="3" xfId="1" applyFont="1" applyBorder="1" applyAlignment="1">
      <alignment vertical="center"/>
    </xf>
    <xf numFmtId="0" fontId="15" fillId="0" borderId="5" xfId="1" applyFont="1" applyBorder="1" applyAlignment="1">
      <alignment vertical="center"/>
    </xf>
    <xf numFmtId="3" fontId="17" fillId="0" borderId="0" xfId="1" applyNumberFormat="1" applyFont="1" applyBorder="1" applyAlignment="1">
      <alignment vertical="center"/>
    </xf>
    <xf numFmtId="0" fontId="15" fillId="0" borderId="7" xfId="1" applyFont="1" applyBorder="1" applyAlignment="1">
      <alignment vertical="center"/>
    </xf>
    <xf numFmtId="3" fontId="15" fillId="0" borderId="7" xfId="1" applyNumberFormat="1" applyFont="1" applyBorder="1" applyAlignment="1">
      <alignment vertical="center"/>
    </xf>
    <xf numFmtId="0" fontId="15" fillId="0" borderId="8" xfId="1" applyFont="1" applyBorder="1" applyAlignment="1">
      <alignment vertical="center"/>
    </xf>
    <xf numFmtId="11" fontId="15" fillId="0" borderId="19" xfId="1" applyNumberFormat="1" applyFont="1" applyBorder="1" applyAlignment="1">
      <alignment horizontal="center" vertical="center"/>
    </xf>
    <xf numFmtId="11" fontId="23" fillId="0" borderId="19" xfId="1" applyNumberFormat="1" applyFont="1" applyBorder="1" applyAlignment="1">
      <alignment horizontal="center" vertical="center"/>
    </xf>
    <xf numFmtId="3" fontId="15" fillId="0" borderId="49" xfId="1" quotePrefix="1" applyNumberFormat="1" applyFont="1" applyBorder="1" applyAlignment="1">
      <alignment horizontal="center" vertical="center"/>
    </xf>
    <xf numFmtId="0" fontId="55" fillId="0" borderId="0" xfId="4" applyFont="1" applyAlignment="1">
      <alignment vertical="center"/>
    </xf>
    <xf numFmtId="0" fontId="15" fillId="0" borderId="0" xfId="0" applyFont="1" applyAlignment="1">
      <alignment vertical="center"/>
    </xf>
    <xf numFmtId="0" fontId="10" fillId="0" borderId="26" xfId="0" applyFont="1" applyBorder="1" applyAlignment="1">
      <alignment horizontal="right" vertical="center"/>
    </xf>
    <xf numFmtId="0" fontId="10" fillId="0" borderId="40" xfId="0" applyFont="1" applyBorder="1" applyAlignment="1">
      <alignment vertical="center"/>
    </xf>
    <xf numFmtId="11" fontId="10" fillId="0" borderId="72" xfId="0" applyNumberFormat="1" applyFont="1" applyBorder="1" applyAlignment="1">
      <alignment horizontal="center" vertical="center"/>
    </xf>
    <xf numFmtId="11" fontId="10" fillId="0" borderId="41" xfId="0" applyNumberFormat="1" applyFont="1" applyBorder="1" applyAlignment="1">
      <alignment horizontal="center" vertical="center"/>
    </xf>
    <xf numFmtId="11" fontId="10" fillId="0" borderId="24" xfId="0" applyNumberFormat="1" applyFont="1" applyBorder="1" applyAlignment="1">
      <alignment horizontal="center" vertical="center"/>
    </xf>
    <xf numFmtId="0" fontId="10" fillId="0" borderId="18" xfId="0" applyFont="1" applyBorder="1" applyAlignment="1">
      <alignment horizontal="right" vertical="center"/>
    </xf>
    <xf numFmtId="0" fontId="10" fillId="0" borderId="42" xfId="0" applyFont="1" applyBorder="1" applyAlignment="1">
      <alignment vertical="center"/>
    </xf>
    <xf numFmtId="11" fontId="10" fillId="0" borderId="48" xfId="0" applyNumberFormat="1" applyFont="1" applyBorder="1" applyAlignment="1">
      <alignment horizontal="center" vertical="center"/>
    </xf>
    <xf numFmtId="11" fontId="10" fillId="0" borderId="9" xfId="0" applyNumberFormat="1" applyFont="1" applyBorder="1" applyAlignment="1">
      <alignment horizontal="center" vertical="center"/>
    </xf>
    <xf numFmtId="0" fontId="10" fillId="0" borderId="18" xfId="0" quotePrefix="1" applyFont="1" applyBorder="1" applyAlignment="1">
      <alignment horizontal="right" vertical="center"/>
    </xf>
    <xf numFmtId="0" fontId="57" fillId="0" borderId="18" xfId="0" applyFont="1" applyBorder="1" applyAlignment="1">
      <alignment horizontal="right" vertical="center"/>
    </xf>
    <xf numFmtId="0" fontId="57" fillId="0" borderId="42" xfId="0" applyFont="1" applyBorder="1" applyAlignment="1">
      <alignment horizontal="left" vertical="center"/>
    </xf>
    <xf numFmtId="11" fontId="57" fillId="0" borderId="48" xfId="0" applyNumberFormat="1" applyFont="1" applyBorder="1" applyAlignment="1">
      <alignment horizontal="center" vertical="center"/>
    </xf>
    <xf numFmtId="0" fontId="57" fillId="0" borderId="9" xfId="0" quotePrefix="1" applyFont="1" applyBorder="1" applyAlignment="1">
      <alignment horizontal="center" vertical="center"/>
    </xf>
    <xf numFmtId="0" fontId="57" fillId="0" borderId="24" xfId="0" quotePrefix="1" applyFont="1" applyBorder="1" applyAlignment="1">
      <alignment horizontal="center" vertical="center"/>
    </xf>
    <xf numFmtId="0" fontId="23" fillId="0" borderId="0" xfId="0" applyFont="1" applyAlignment="1">
      <alignment vertical="center"/>
    </xf>
    <xf numFmtId="3" fontId="56" fillId="0" borderId="18" xfId="0" applyNumberFormat="1" applyFont="1" applyBorder="1" applyAlignment="1">
      <alignment horizontal="center" vertical="center"/>
    </xf>
    <xf numFmtId="3" fontId="56" fillId="0" borderId="49" xfId="0" applyNumberFormat="1" applyFont="1" applyBorder="1" applyAlignment="1">
      <alignment horizontal="center" vertical="center"/>
    </xf>
    <xf numFmtId="0" fontId="10" fillId="0" borderId="57" xfId="0" applyFont="1" applyBorder="1" applyAlignment="1">
      <alignment vertical="center"/>
    </xf>
    <xf numFmtId="11" fontId="10" fillId="0" borderId="73" xfId="0" applyNumberFormat="1" applyFont="1" applyBorder="1" applyAlignment="1">
      <alignment horizontal="center" vertical="center"/>
    </xf>
    <xf numFmtId="11" fontId="10" fillId="0" borderId="38" xfId="0" applyNumberFormat="1" applyFont="1" applyBorder="1" applyAlignment="1">
      <alignment horizontal="center" vertical="center"/>
    </xf>
    <xf numFmtId="11" fontId="10" fillId="0" borderId="74" xfId="0" applyNumberFormat="1" applyFont="1" applyBorder="1" applyAlignment="1">
      <alignment horizontal="center" vertical="center"/>
    </xf>
    <xf numFmtId="3" fontId="56" fillId="0" borderId="11" xfId="0" applyNumberFormat="1" applyFont="1" applyBorder="1" applyAlignment="1">
      <alignment horizontal="center" vertical="center"/>
    </xf>
    <xf numFmtId="0" fontId="10" fillId="0" borderId="12" xfId="0" applyFont="1" applyBorder="1" applyAlignment="1">
      <alignment vertical="center"/>
    </xf>
    <xf numFmtId="11" fontId="10" fillId="0" borderId="12" xfId="0" applyNumberFormat="1" applyFont="1" applyBorder="1" applyAlignment="1">
      <alignment horizontal="center" vertical="center"/>
    </xf>
    <xf numFmtId="3" fontId="56" fillId="0" borderId="12" xfId="0" applyNumberFormat="1" applyFont="1" applyBorder="1" applyAlignment="1">
      <alignment horizontal="center" vertical="center"/>
    </xf>
    <xf numFmtId="11" fontId="10" fillId="0" borderId="13" xfId="0" applyNumberFormat="1" applyFont="1" applyBorder="1" applyAlignment="1">
      <alignment horizontal="center" vertical="center"/>
    </xf>
    <xf numFmtId="11" fontId="10" fillId="0" borderId="21" xfId="0" applyNumberFormat="1" applyFont="1" applyBorder="1" applyAlignment="1">
      <alignment horizontal="center" vertical="center"/>
    </xf>
    <xf numFmtId="0" fontId="15" fillId="0" borderId="0" xfId="0" applyFont="1" applyBorder="1" applyAlignment="1">
      <alignment vertical="center"/>
    </xf>
    <xf numFmtId="165" fontId="15" fillId="0" borderId="19" xfId="1" applyNumberFormat="1" applyFont="1" applyBorder="1" applyAlignment="1">
      <alignment horizontal="center" vertical="center"/>
    </xf>
    <xf numFmtId="166" fontId="15" fillId="0" borderId="19" xfId="1" applyNumberFormat="1" applyFont="1" applyBorder="1" applyAlignment="1">
      <alignment horizontal="center" vertical="center"/>
    </xf>
    <xf numFmtId="2" fontId="15" fillId="0" borderId="19" xfId="1" applyNumberFormat="1" applyFont="1" applyBorder="1" applyAlignment="1">
      <alignment horizontal="center" vertical="center"/>
    </xf>
    <xf numFmtId="165" fontId="15" fillId="0" borderId="39" xfId="1" applyNumberFormat="1" applyFont="1" applyBorder="1" applyAlignment="1">
      <alignment horizontal="center" vertical="center"/>
    </xf>
    <xf numFmtId="0" fontId="17" fillId="0" borderId="0" xfId="1" applyFont="1" applyBorder="1" applyAlignment="1">
      <alignment vertical="center"/>
    </xf>
    <xf numFmtId="0" fontId="15" fillId="0" borderId="0" xfId="122" applyFont="1" applyAlignment="1">
      <alignment vertical="center"/>
    </xf>
    <xf numFmtId="0" fontId="20" fillId="4" borderId="1" xfId="1" applyFont="1" applyFill="1" applyBorder="1" applyAlignment="1">
      <alignment horizontal="center" vertical="center"/>
    </xf>
    <xf numFmtId="0" fontId="20" fillId="4" borderId="14" xfId="1" applyFont="1" applyFill="1" applyBorder="1" applyAlignment="1">
      <alignment horizontal="centerContinuous" vertical="center"/>
    </xf>
    <xf numFmtId="0" fontId="20" fillId="4" borderId="15" xfId="1" applyFont="1" applyFill="1" applyBorder="1" applyAlignment="1">
      <alignment horizontal="centerContinuous" vertical="center"/>
    </xf>
    <xf numFmtId="0" fontId="20" fillId="4" borderId="16" xfId="1" applyFont="1" applyFill="1" applyBorder="1" applyAlignment="1">
      <alignment horizontal="centerContinuous" vertical="center"/>
    </xf>
    <xf numFmtId="0" fontId="20" fillId="4" borderId="6" xfId="1" applyFont="1" applyFill="1" applyBorder="1" applyAlignment="1">
      <alignment horizontal="center" vertical="center"/>
    </xf>
    <xf numFmtId="0" fontId="20" fillId="4" borderId="49" xfId="1" applyFont="1" applyFill="1" applyBorder="1" applyAlignment="1">
      <alignment horizontal="center" vertical="center"/>
    </xf>
    <xf numFmtId="0" fontId="20" fillId="4" borderId="58" xfId="1" applyFont="1" applyFill="1" applyBorder="1" applyAlignment="1">
      <alignment horizontal="center" vertical="center"/>
    </xf>
    <xf numFmtId="0" fontId="20" fillId="4" borderId="57" xfId="1" applyFont="1" applyFill="1" applyBorder="1" applyAlignment="1">
      <alignment horizontal="center" vertical="center"/>
    </xf>
    <xf numFmtId="0" fontId="7" fillId="4" borderId="70" xfId="0" applyFont="1" applyFill="1" applyBorder="1" applyAlignment="1">
      <alignment horizontal="center" vertical="center"/>
    </xf>
    <xf numFmtId="0" fontId="7" fillId="4" borderId="14" xfId="0" applyFont="1" applyFill="1" applyBorder="1" applyAlignment="1">
      <alignment horizontal="centerContinuous" vertical="center"/>
    </xf>
    <xf numFmtId="0" fontId="7" fillId="4" borderId="15" xfId="0" applyFont="1" applyFill="1" applyBorder="1" applyAlignment="1">
      <alignment horizontal="centerContinuous" vertical="center"/>
    </xf>
    <xf numFmtId="0" fontId="7" fillId="4" borderId="16" xfId="0" applyFont="1" applyFill="1" applyBorder="1" applyAlignment="1">
      <alignment horizontal="centerContinuous" vertical="center"/>
    </xf>
    <xf numFmtId="0" fontId="7" fillId="4" borderId="55" xfId="0" applyFont="1" applyFill="1" applyBorder="1" applyAlignment="1">
      <alignment horizontal="center" vertical="center"/>
    </xf>
    <xf numFmtId="0" fontId="7" fillId="4" borderId="71"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50" xfId="0" applyFont="1" applyFill="1" applyBorder="1" applyAlignment="1">
      <alignment horizontal="center" vertical="center"/>
    </xf>
    <xf numFmtId="0" fontId="7" fillId="4" borderId="56" xfId="0" applyFont="1" applyFill="1" applyBorder="1" applyAlignment="1">
      <alignment horizontal="center" vertical="center"/>
    </xf>
    <xf numFmtId="0" fontId="7" fillId="4" borderId="47" xfId="0" applyFont="1" applyFill="1" applyBorder="1" applyAlignment="1">
      <alignment horizontal="center" vertical="center"/>
    </xf>
    <xf numFmtId="0" fontId="15" fillId="3" borderId="0" xfId="1" applyFont="1" applyFill="1" applyAlignment="1">
      <alignment vertical="center"/>
    </xf>
    <xf numFmtId="0" fontId="14" fillId="3" borderId="0" xfId="1" applyFont="1" applyFill="1" applyAlignment="1">
      <alignment vertical="center"/>
    </xf>
    <xf numFmtId="0" fontId="0" fillId="3" borderId="0" xfId="0" applyFill="1"/>
    <xf numFmtId="0" fontId="16" fillId="3" borderId="0" xfId="1" applyFont="1" applyFill="1" applyBorder="1" applyAlignment="1">
      <alignment vertical="center"/>
    </xf>
    <xf numFmtId="0" fontId="15" fillId="3" borderId="0" xfId="1" applyFont="1" applyFill="1" applyBorder="1" applyAlignment="1">
      <alignment vertical="center"/>
    </xf>
    <xf numFmtId="0" fontId="16" fillId="3" borderId="0" xfId="1" applyFont="1" applyFill="1" applyBorder="1" applyAlignment="1">
      <alignment horizontal="right" vertical="center"/>
    </xf>
    <xf numFmtId="0" fontId="15" fillId="3" borderId="0" xfId="2" applyFont="1" applyFill="1" applyAlignment="1">
      <alignment vertical="center"/>
    </xf>
    <xf numFmtId="0" fontId="17" fillId="3" borderId="0" xfId="2" applyFont="1" applyFill="1" applyAlignment="1">
      <alignment vertical="center"/>
    </xf>
    <xf numFmtId="0" fontId="17" fillId="3" borderId="0" xfId="2" applyFont="1" applyFill="1" applyAlignment="1">
      <alignment horizontal="center" vertical="center"/>
    </xf>
    <xf numFmtId="0" fontId="17" fillId="3" borderId="0" xfId="2" applyFont="1" applyFill="1" applyBorder="1" applyAlignment="1">
      <alignment horizontal="center" vertical="center"/>
    </xf>
    <xf numFmtId="0" fontId="17" fillId="3" borderId="10" xfId="1" applyFont="1" applyFill="1" applyBorder="1" applyAlignment="1">
      <alignment vertical="center"/>
    </xf>
    <xf numFmtId="0" fontId="17" fillId="3" borderId="10" xfId="3" applyFont="1" applyFill="1" applyBorder="1" applyAlignment="1">
      <alignment horizontal="centerContinuous" vertical="center"/>
    </xf>
    <xf numFmtId="0" fontId="17" fillId="3" borderId="10" xfId="2" applyFont="1" applyFill="1" applyBorder="1" applyAlignment="1">
      <alignment horizontal="center" vertical="center"/>
    </xf>
    <xf numFmtId="0" fontId="2" fillId="3" borderId="0" xfId="0" applyFont="1" applyFill="1"/>
    <xf numFmtId="0" fontId="0" fillId="3" borderId="0" xfId="0" applyFill="1" applyAlignment="1">
      <alignment horizontal="center"/>
    </xf>
    <xf numFmtId="0" fontId="4" fillId="3" borderId="0" xfId="0" applyFont="1" applyFill="1"/>
    <xf numFmtId="0" fontId="4" fillId="3" borderId="0" xfId="0" applyFont="1" applyFill="1" applyBorder="1"/>
    <xf numFmtId="1" fontId="4" fillId="0" borderId="0" xfId="0" applyNumberFormat="1" applyFont="1" applyBorder="1"/>
    <xf numFmtId="0" fontId="11" fillId="3" borderId="0" xfId="0" applyFont="1" applyFill="1"/>
    <xf numFmtId="0" fontId="0" fillId="3" borderId="4" xfId="0" applyFill="1" applyBorder="1"/>
    <xf numFmtId="0" fontId="0" fillId="3" borderId="0" xfId="0" applyFill="1" applyBorder="1"/>
    <xf numFmtId="0" fontId="17" fillId="0" borderId="10" xfId="174" applyFont="1" applyBorder="1" applyAlignment="1">
      <alignment vertical="center"/>
    </xf>
    <xf numFmtId="0" fontId="15" fillId="0" borderId="0" xfId="174" applyFont="1" applyAlignment="1">
      <alignment vertical="center"/>
    </xf>
    <xf numFmtId="0" fontId="15" fillId="0" borderId="0" xfId="174" applyFont="1" applyBorder="1" applyAlignment="1">
      <alignment vertical="center"/>
    </xf>
    <xf numFmtId="4" fontId="15" fillId="0" borderId="0" xfId="174" applyNumberFormat="1" applyFont="1" applyAlignment="1">
      <alignment vertical="center"/>
    </xf>
    <xf numFmtId="0" fontId="15" fillId="0" borderId="33" xfId="174" applyFont="1" applyBorder="1" applyAlignment="1">
      <alignment vertical="center"/>
    </xf>
    <xf numFmtId="3" fontId="15" fillId="0" borderId="0" xfId="174" applyNumberFormat="1" applyFont="1" applyAlignment="1">
      <alignment vertical="center"/>
    </xf>
    <xf numFmtId="0" fontId="20" fillId="31" borderId="1" xfId="174" applyFont="1" applyFill="1" applyBorder="1" applyAlignment="1">
      <alignment horizontal="center" vertical="center"/>
    </xf>
    <xf numFmtId="0" fontId="20" fillId="31" borderId="14" xfId="174" applyFont="1" applyFill="1" applyBorder="1" applyAlignment="1">
      <alignment horizontal="centerContinuous" vertical="center"/>
    </xf>
    <xf numFmtId="0" fontId="20" fillId="31" borderId="15" xfId="174" applyFont="1" applyFill="1" applyBorder="1" applyAlignment="1">
      <alignment horizontal="centerContinuous" vertical="center"/>
    </xf>
    <xf numFmtId="0" fontId="20" fillId="31" borderId="16" xfId="174" applyFont="1" applyFill="1" applyBorder="1" applyAlignment="1">
      <alignment horizontal="centerContinuous" vertical="center"/>
    </xf>
    <xf numFmtId="0" fontId="20" fillId="31" borderId="55" xfId="174" applyFont="1" applyFill="1" applyBorder="1" applyAlignment="1">
      <alignment horizontal="center" vertical="center"/>
    </xf>
    <xf numFmtId="0" fontId="20" fillId="31" borderId="4" xfId="174" applyFont="1" applyFill="1" applyBorder="1" applyAlignment="1">
      <alignment horizontal="center" vertical="center"/>
    </xf>
    <xf numFmtId="0" fontId="20" fillId="31" borderId="37" xfId="174" applyFont="1" applyFill="1" applyBorder="1" applyAlignment="1">
      <alignment horizontal="center" vertical="center"/>
    </xf>
    <xf numFmtId="0" fontId="20" fillId="31" borderId="50" xfId="174" applyFont="1" applyFill="1" applyBorder="1" applyAlignment="1">
      <alignment horizontal="center" vertical="center"/>
    </xf>
    <xf numFmtId="0" fontId="20" fillId="31" borderId="56" xfId="174" applyFont="1" applyFill="1" applyBorder="1" applyAlignment="1">
      <alignment horizontal="center" vertical="center"/>
    </xf>
    <xf numFmtId="0" fontId="20" fillId="31" borderId="47" xfId="174" applyFont="1" applyFill="1" applyBorder="1" applyAlignment="1">
      <alignment horizontal="center" vertical="center"/>
    </xf>
    <xf numFmtId="0" fontId="15" fillId="0" borderId="0" xfId="174" quotePrefix="1" applyFont="1" applyAlignment="1">
      <alignment vertical="center"/>
    </xf>
    <xf numFmtId="0" fontId="23" fillId="0" borderId="0" xfId="174" applyFont="1" applyAlignment="1">
      <alignment vertical="center"/>
    </xf>
    <xf numFmtId="0" fontId="23" fillId="0" borderId="0" xfId="174" quotePrefix="1" applyFont="1" applyAlignment="1">
      <alignment vertical="center"/>
    </xf>
    <xf numFmtId="0" fontId="15" fillId="3" borderId="23" xfId="174" applyFont="1" applyFill="1" applyBorder="1" applyAlignment="1">
      <alignment vertical="center"/>
    </xf>
    <xf numFmtId="2" fontId="15" fillId="3" borderId="72" xfId="174" applyNumberFormat="1" applyFont="1" applyFill="1" applyBorder="1" applyAlignment="1">
      <alignment horizontal="center" vertical="center"/>
    </xf>
    <xf numFmtId="0" fontId="21" fillId="3" borderId="28" xfId="174" applyNumberFormat="1" applyFont="1" applyFill="1" applyBorder="1" applyAlignment="1">
      <alignment horizontal="center" vertical="center"/>
    </xf>
    <xf numFmtId="2" fontId="15" fillId="3" borderId="15" xfId="174" applyNumberFormat="1" applyFont="1" applyFill="1" applyBorder="1" applyAlignment="1">
      <alignment horizontal="center" vertical="center"/>
    </xf>
    <xf numFmtId="4" fontId="15" fillId="3" borderId="23" xfId="174" applyNumberFormat="1" applyFont="1" applyFill="1" applyBorder="1" applyAlignment="1">
      <alignment horizontal="center" vertical="center"/>
    </xf>
    <xf numFmtId="0" fontId="10" fillId="3" borderId="24" xfId="174" applyFont="1" applyFill="1" applyBorder="1" applyAlignment="1">
      <alignment vertical="center"/>
    </xf>
    <xf numFmtId="2" fontId="15" fillId="3" borderId="48" xfId="174" applyNumberFormat="1" applyFont="1" applyFill="1" applyBorder="1" applyAlignment="1">
      <alignment horizontal="center" vertical="center"/>
    </xf>
    <xf numFmtId="0" fontId="21" fillId="3" borderId="29" xfId="174" applyNumberFormat="1" applyFont="1" applyFill="1" applyBorder="1" applyAlignment="1">
      <alignment horizontal="center" vertical="center"/>
    </xf>
    <xf numFmtId="2" fontId="15" fillId="3" borderId="10" xfId="174" applyNumberFormat="1" applyFont="1" applyFill="1" applyBorder="1" applyAlignment="1">
      <alignment horizontal="center" vertical="center"/>
    </xf>
    <xf numFmtId="4" fontId="15" fillId="3" borderId="24" xfId="174" applyNumberFormat="1" applyFont="1" applyFill="1" applyBorder="1" applyAlignment="1">
      <alignment horizontal="center" vertical="center"/>
    </xf>
    <xf numFmtId="0" fontId="15" fillId="3" borderId="24" xfId="174" applyFont="1" applyFill="1" applyBorder="1" applyAlignment="1">
      <alignment vertical="center"/>
    </xf>
    <xf numFmtId="172" fontId="15" fillId="3" borderId="24" xfId="174" applyNumberFormat="1" applyFont="1" applyFill="1" applyBorder="1" applyAlignment="1">
      <alignment horizontal="center" vertical="center"/>
    </xf>
    <xf numFmtId="165" fontId="15" fillId="3" borderId="48" xfId="174" applyNumberFormat="1" applyFont="1" applyFill="1" applyBorder="1" applyAlignment="1">
      <alignment horizontal="center" vertical="center"/>
    </xf>
    <xf numFmtId="166" fontId="15" fillId="3" borderId="10" xfId="174" applyNumberFormat="1" applyFont="1" applyFill="1" applyBorder="1" applyAlignment="1">
      <alignment horizontal="center" vertical="center"/>
    </xf>
    <xf numFmtId="168" fontId="15" fillId="3" borderId="24" xfId="174" applyNumberFormat="1" applyFont="1" applyFill="1" applyBorder="1" applyAlignment="1">
      <alignment horizontal="center" vertical="center"/>
    </xf>
    <xf numFmtId="4" fontId="15" fillId="3" borderId="48" xfId="174" quotePrefix="1" applyNumberFormat="1" applyFont="1" applyFill="1" applyBorder="1" applyAlignment="1">
      <alignment horizontal="center" vertical="center"/>
    </xf>
    <xf numFmtId="2" fontId="15" fillId="3" borderId="10" xfId="174" quotePrefix="1" applyNumberFormat="1" applyFont="1" applyFill="1" applyBorder="1" applyAlignment="1">
      <alignment horizontal="center" vertical="center"/>
    </xf>
    <xf numFmtId="4" fontId="15" fillId="3" borderId="24" xfId="174" quotePrefix="1" applyNumberFormat="1" applyFont="1" applyFill="1" applyBorder="1" applyAlignment="1">
      <alignment horizontal="center" vertical="center"/>
    </xf>
    <xf numFmtId="172" fontId="15" fillId="3" borderId="48" xfId="174" applyNumberFormat="1" applyFont="1" applyFill="1" applyBorder="1" applyAlignment="1">
      <alignment horizontal="center" vertical="center"/>
    </xf>
    <xf numFmtId="3" fontId="15" fillId="3" borderId="9" xfId="174" quotePrefix="1" applyNumberFormat="1" applyFont="1" applyFill="1" applyBorder="1" applyAlignment="1">
      <alignment horizontal="center" vertical="center"/>
    </xf>
    <xf numFmtId="3" fontId="15" fillId="3" borderId="24" xfId="174" applyNumberFormat="1" applyFont="1" applyFill="1" applyBorder="1" applyAlignment="1">
      <alignment horizontal="center" vertical="center"/>
    </xf>
    <xf numFmtId="0" fontId="23" fillId="3" borderId="24" xfId="174" applyFont="1" applyFill="1" applyBorder="1" applyAlignment="1">
      <alignment horizontal="left" vertical="center"/>
    </xf>
    <xf numFmtId="11" fontId="23" fillId="3" borderId="10" xfId="174" applyNumberFormat="1" applyFont="1" applyFill="1" applyBorder="1" applyAlignment="1">
      <alignment horizontal="center" vertical="center"/>
    </xf>
    <xf numFmtId="4" fontId="23" fillId="3" borderId="10" xfId="174" applyNumberFormat="1" applyFont="1" applyFill="1" applyBorder="1" applyAlignment="1">
      <alignment horizontal="center" vertical="center"/>
    </xf>
    <xf numFmtId="4" fontId="23" fillId="3" borderId="24" xfId="174" applyNumberFormat="1" applyFont="1" applyFill="1" applyBorder="1" applyAlignment="1">
      <alignment horizontal="center" vertical="center"/>
    </xf>
    <xf numFmtId="2" fontId="23" fillId="3" borderId="10" xfId="174" applyNumberFormat="1" applyFont="1" applyFill="1" applyBorder="1" applyAlignment="1">
      <alignment horizontal="center" vertical="center"/>
    </xf>
    <xf numFmtId="11" fontId="23" fillId="3" borderId="10" xfId="174" quotePrefix="1" applyNumberFormat="1" applyFont="1" applyFill="1" applyBorder="1" applyAlignment="1">
      <alignment horizontal="center" vertical="center"/>
    </xf>
    <xf numFmtId="11" fontId="23" fillId="3" borderId="9" xfId="174" quotePrefix="1" applyNumberFormat="1" applyFont="1" applyFill="1" applyBorder="1" applyAlignment="1">
      <alignment horizontal="center" vertical="center"/>
    </xf>
    <xf numFmtId="4" fontId="23" fillId="3" borderId="24" xfId="174" quotePrefix="1" applyNumberFormat="1" applyFont="1" applyFill="1" applyBorder="1" applyAlignment="1">
      <alignment horizontal="center" vertical="center"/>
    </xf>
    <xf numFmtId="11" fontId="23" fillId="3" borderId="48" xfId="174" applyNumberFormat="1" applyFont="1" applyFill="1" applyBorder="1" applyAlignment="1">
      <alignment horizontal="center" vertical="center"/>
    </xf>
    <xf numFmtId="4" fontId="23" fillId="3" borderId="42" xfId="174" quotePrefix="1" applyNumberFormat="1" applyFont="1" applyFill="1" applyBorder="1" applyAlignment="1">
      <alignment horizontal="center" vertical="center"/>
    </xf>
    <xf numFmtId="2" fontId="23" fillId="3" borderId="42" xfId="174" quotePrefix="1" applyNumberFormat="1" applyFont="1" applyFill="1" applyBorder="1" applyAlignment="1">
      <alignment horizontal="center" vertical="center"/>
    </xf>
    <xf numFmtId="0" fontId="23" fillId="3" borderId="74" xfId="174" applyFont="1" applyFill="1" applyBorder="1" applyAlignment="1">
      <alignment horizontal="left" vertical="center"/>
    </xf>
    <xf numFmtId="11" fontId="23" fillId="3" borderId="73" xfId="174" quotePrefix="1" applyNumberFormat="1" applyFont="1" applyFill="1" applyBorder="1" applyAlignment="1">
      <alignment horizontal="center" vertical="center"/>
    </xf>
    <xf numFmtId="0" fontId="23" fillId="3" borderId="58" xfId="174" quotePrefix="1" applyNumberFormat="1" applyFont="1" applyFill="1" applyBorder="1" applyAlignment="1">
      <alignment horizontal="center" vertical="center"/>
    </xf>
    <xf numFmtId="11" fontId="23" fillId="3" borderId="57" xfId="174" quotePrefix="1" applyNumberFormat="1" applyFont="1" applyFill="1" applyBorder="1" applyAlignment="1">
      <alignment horizontal="center" vertical="center"/>
    </xf>
    <xf numFmtId="4" fontId="23" fillId="3" borderId="74" xfId="174" quotePrefix="1" applyNumberFormat="1" applyFont="1" applyFill="1" applyBorder="1" applyAlignment="1">
      <alignment horizontal="center" vertical="center"/>
    </xf>
    <xf numFmtId="1" fontId="15" fillId="3" borderId="0" xfId="1" applyNumberFormat="1" applyFont="1" applyFill="1" applyAlignment="1">
      <alignment vertical="center"/>
    </xf>
    <xf numFmtId="0" fontId="18" fillId="3" borderId="0" xfId="1" applyFont="1" applyFill="1" applyAlignment="1">
      <alignment vertical="center"/>
    </xf>
    <xf numFmtId="0" fontId="15" fillId="3" borderId="0" xfId="174" applyFont="1" applyFill="1" applyAlignment="1">
      <alignment vertical="center"/>
    </xf>
    <xf numFmtId="2" fontId="15" fillId="3" borderId="0" xfId="1" applyNumberFormat="1" applyFont="1" applyFill="1" applyAlignment="1">
      <alignment vertical="center"/>
    </xf>
    <xf numFmtId="3" fontId="15" fillId="3" borderId="0" xfId="174" applyNumberFormat="1" applyFont="1" applyFill="1" applyAlignment="1">
      <alignment vertical="center"/>
    </xf>
    <xf numFmtId="2" fontId="15" fillId="3" borderId="0" xfId="174" applyNumberFormat="1" applyFont="1" applyFill="1" applyAlignment="1">
      <alignment vertical="center"/>
    </xf>
    <xf numFmtId="1" fontId="15" fillId="3" borderId="0" xfId="174" applyNumberFormat="1" applyFont="1" applyFill="1" applyAlignment="1">
      <alignment vertical="center"/>
    </xf>
    <xf numFmtId="4" fontId="15" fillId="3" borderId="0" xfId="174" applyNumberFormat="1" applyFont="1" applyFill="1" applyAlignment="1">
      <alignment vertical="center"/>
    </xf>
    <xf numFmtId="0" fontId="15" fillId="3" borderId="33" xfId="174" applyFont="1" applyFill="1" applyBorder="1" applyAlignment="1">
      <alignment vertical="center"/>
    </xf>
    <xf numFmtId="0" fontId="15" fillId="3" borderId="0" xfId="174" applyFont="1" applyFill="1" applyBorder="1" applyAlignment="1">
      <alignment vertical="center"/>
    </xf>
    <xf numFmtId="0" fontId="15" fillId="3" borderId="0" xfId="174" applyFont="1" applyFill="1" applyBorder="1" applyAlignment="1">
      <alignment horizontal="left" vertical="center"/>
    </xf>
    <xf numFmtId="0" fontId="15" fillId="3" borderId="0" xfId="174" applyFont="1" applyFill="1" applyBorder="1" applyAlignment="1">
      <alignment horizontal="center" vertical="center"/>
    </xf>
    <xf numFmtId="0" fontId="15" fillId="0" borderId="0" xfId="174" applyFont="1" applyFill="1" applyBorder="1" applyAlignment="1">
      <alignment vertical="center"/>
    </xf>
    <xf numFmtId="0" fontId="20" fillId="31" borderId="55" xfId="174" applyFont="1" applyFill="1" applyBorder="1" applyAlignment="1">
      <alignment horizontal="centerContinuous" vertical="center"/>
    </xf>
    <xf numFmtId="0" fontId="20" fillId="0" borderId="0" xfId="174" applyFont="1" applyFill="1" applyBorder="1" applyAlignment="1">
      <alignment vertical="center"/>
    </xf>
    <xf numFmtId="0" fontId="20" fillId="0" borderId="0" xfId="174" applyFont="1" applyFill="1" applyBorder="1" applyAlignment="1">
      <alignment horizontal="center" vertical="center"/>
    </xf>
    <xf numFmtId="0" fontId="20" fillId="31" borderId="22" xfId="174" applyFont="1" applyFill="1" applyBorder="1" applyAlignment="1">
      <alignment horizontal="center" vertical="center"/>
    </xf>
    <xf numFmtId="0" fontId="15" fillId="0" borderId="24" xfId="174" applyFont="1" applyBorder="1" applyAlignment="1">
      <alignment vertical="center"/>
    </xf>
    <xf numFmtId="11" fontId="15" fillId="0" borderId="19" xfId="174" quotePrefix="1" applyNumberFormat="1" applyFont="1" applyFill="1" applyBorder="1" applyAlignment="1">
      <alignment horizontal="center" vertical="center"/>
    </xf>
    <xf numFmtId="0" fontId="15" fillId="0" borderId="74" xfId="174" applyFont="1" applyBorder="1" applyAlignment="1">
      <alignment vertical="center"/>
    </xf>
    <xf numFmtId="11" fontId="15" fillId="0" borderId="46" xfId="174" quotePrefix="1" applyNumberFormat="1" applyFont="1" applyFill="1" applyBorder="1" applyAlignment="1">
      <alignment horizontal="center" vertical="center"/>
    </xf>
    <xf numFmtId="0" fontId="15" fillId="0" borderId="0" xfId="174" applyFont="1" applyFill="1" applyBorder="1" applyAlignment="1">
      <alignment horizontal="center" vertical="center"/>
    </xf>
    <xf numFmtId="0" fontId="20" fillId="31" borderId="49" xfId="174" applyFont="1" applyFill="1" applyBorder="1" applyAlignment="1">
      <alignment horizontal="center" vertical="center"/>
    </xf>
    <xf numFmtId="0" fontId="20" fillId="31" borderId="58" xfId="174" applyFont="1" applyFill="1" applyBorder="1" applyAlignment="1">
      <alignment horizontal="center" vertical="center"/>
    </xf>
    <xf numFmtId="0" fontId="20" fillId="31" borderId="57" xfId="174" applyFont="1" applyFill="1" applyBorder="1" applyAlignment="1">
      <alignment horizontal="center" vertical="center"/>
    </xf>
    <xf numFmtId="0" fontId="15" fillId="0" borderId="23" xfId="174" applyFont="1" applyBorder="1" applyAlignment="1">
      <alignment vertical="center"/>
    </xf>
    <xf numFmtId="11" fontId="15" fillId="0" borderId="75" xfId="174" applyNumberFormat="1" applyFont="1" applyFill="1" applyBorder="1" applyAlignment="1">
      <alignment horizontal="center" vertical="center"/>
    </xf>
    <xf numFmtId="0" fontId="21" fillId="0" borderId="61" xfId="174" applyNumberFormat="1" applyFont="1" applyFill="1" applyBorder="1" applyAlignment="1">
      <alignment horizontal="center" vertical="center"/>
    </xf>
    <xf numFmtId="11" fontId="15" fillId="0" borderId="33" xfId="174" applyNumberFormat="1" applyFont="1" applyFill="1" applyBorder="1" applyAlignment="1">
      <alignment horizontal="center" vertical="center"/>
    </xf>
    <xf numFmtId="11" fontId="15" fillId="0" borderId="24" xfId="174" applyNumberFormat="1" applyFont="1" applyFill="1" applyBorder="1" applyAlignment="1">
      <alignment horizontal="center" vertical="center"/>
    </xf>
    <xf numFmtId="0" fontId="10" fillId="0" borderId="24" xfId="174" applyFont="1" applyBorder="1" applyAlignment="1">
      <alignment vertical="center"/>
    </xf>
    <xf numFmtId="11" fontId="15" fillId="0" borderId="48" xfId="174" applyNumberFormat="1" applyFont="1" applyFill="1" applyBorder="1" applyAlignment="1">
      <alignment horizontal="center" vertical="center"/>
    </xf>
    <xf numFmtId="11" fontId="15" fillId="0" borderId="10" xfId="174" applyNumberFormat="1" applyFont="1" applyFill="1" applyBorder="1" applyAlignment="1">
      <alignment horizontal="center" vertical="center"/>
    </xf>
    <xf numFmtId="0" fontId="15" fillId="0" borderId="24" xfId="174" applyFont="1" applyFill="1" applyBorder="1" applyAlignment="1">
      <alignment vertical="center"/>
    </xf>
    <xf numFmtId="11" fontId="15" fillId="0" borderId="48" xfId="174" quotePrefix="1" applyNumberFormat="1" applyFont="1" applyFill="1" applyBorder="1" applyAlignment="1">
      <alignment horizontal="center" vertical="center"/>
    </xf>
    <xf numFmtId="0" fontId="21" fillId="0" borderId="29" xfId="174" applyNumberFormat="1" applyFont="1" applyFill="1" applyBorder="1" applyAlignment="1">
      <alignment horizontal="center" vertical="center"/>
    </xf>
    <xf numFmtId="0" fontId="15" fillId="0" borderId="76" xfId="174" applyFont="1" applyBorder="1" applyAlignment="1">
      <alignment vertical="center"/>
    </xf>
    <xf numFmtId="11" fontId="15" fillId="0" borderId="77" xfId="174" quotePrefix="1" applyNumberFormat="1" applyFont="1" applyFill="1" applyBorder="1" applyAlignment="1">
      <alignment horizontal="center" vertical="center"/>
    </xf>
    <xf numFmtId="11" fontId="15" fillId="0" borderId="54" xfId="174" applyNumberFormat="1" applyFont="1" applyFill="1" applyBorder="1" applyAlignment="1">
      <alignment horizontal="center" vertical="center"/>
    </xf>
    <xf numFmtId="11" fontId="15" fillId="0" borderId="76" xfId="174" applyNumberFormat="1" applyFont="1" applyFill="1" applyBorder="1" applyAlignment="1">
      <alignment horizontal="center" vertical="center"/>
    </xf>
    <xf numFmtId="0" fontId="15" fillId="0" borderId="11" xfId="174" applyFont="1" applyBorder="1" applyAlignment="1">
      <alignment vertical="center"/>
    </xf>
    <xf numFmtId="11" fontId="15" fillId="0" borderId="12" xfId="174" quotePrefix="1" applyNumberFormat="1" applyFont="1" applyFill="1" applyBorder="1" applyAlignment="1">
      <alignment horizontal="center" vertical="center"/>
    </xf>
    <xf numFmtId="0" fontId="21" fillId="0" borderId="12" xfId="174" applyNumberFormat="1" applyFont="1" applyFill="1" applyBorder="1" applyAlignment="1">
      <alignment horizontal="center" vertical="center"/>
    </xf>
    <xf numFmtId="2" fontId="15" fillId="0" borderId="13" xfId="174" quotePrefix="1" applyNumberFormat="1" applyFont="1" applyFill="1" applyBorder="1" applyAlignment="1">
      <alignment horizontal="center" vertical="center"/>
    </xf>
    <xf numFmtId="11" fontId="15" fillId="0" borderId="21" xfId="174" quotePrefix="1" applyNumberFormat="1" applyFont="1" applyFill="1" applyBorder="1" applyAlignment="1">
      <alignment horizontal="center" vertical="center"/>
    </xf>
    <xf numFmtId="3" fontId="15" fillId="0" borderId="33" xfId="1" applyNumberFormat="1" applyFont="1" applyBorder="1" applyAlignment="1">
      <alignment vertical="center"/>
    </xf>
    <xf numFmtId="0" fontId="15" fillId="0" borderId="25" xfId="1" applyFont="1" applyBorder="1" applyAlignment="1">
      <alignment vertical="center"/>
    </xf>
    <xf numFmtId="166" fontId="15" fillId="0" borderId="25" xfId="1" applyNumberFormat="1" applyFont="1" applyBorder="1" applyAlignment="1">
      <alignment horizontal="center" vertical="center"/>
    </xf>
    <xf numFmtId="0" fontId="15" fillId="2" borderId="0" xfId="1" applyFont="1" applyFill="1" applyAlignment="1">
      <alignment vertical="center"/>
    </xf>
    <xf numFmtId="0" fontId="10" fillId="2" borderId="0" xfId="2" applyFont="1" applyFill="1" applyAlignment="1">
      <alignment vertical="center"/>
    </xf>
    <xf numFmtId="0" fontId="0" fillId="3" borderId="0" xfId="0" applyFill="1" applyBorder="1" applyAlignment="1">
      <alignment horizontal="center"/>
    </xf>
    <xf numFmtId="0" fontId="4" fillId="3" borderId="30" xfId="0" applyFont="1" applyFill="1" applyBorder="1" applyAlignment="1">
      <alignment horizontal="center"/>
    </xf>
    <xf numFmtId="0" fontId="4" fillId="3" borderId="27" xfId="0" applyFont="1" applyFill="1" applyBorder="1" applyAlignment="1">
      <alignment horizontal="center" wrapText="1"/>
    </xf>
    <xf numFmtId="0" fontId="4" fillId="3" borderId="43" xfId="0" applyFont="1" applyFill="1" applyBorder="1" applyAlignment="1">
      <alignment horizontal="center"/>
    </xf>
    <xf numFmtId="0" fontId="4" fillId="3" borderId="79" xfId="0" applyFont="1" applyFill="1" applyBorder="1" applyAlignment="1">
      <alignment horizontal="center"/>
    </xf>
    <xf numFmtId="0" fontId="4" fillId="3" borderId="43" xfId="0" quotePrefix="1" applyFont="1" applyFill="1" applyBorder="1" applyAlignment="1">
      <alignment horizontal="center"/>
    </xf>
    <xf numFmtId="0" fontId="4" fillId="3" borderId="26" xfId="0" applyFont="1" applyFill="1" applyBorder="1" applyAlignment="1">
      <alignment horizontal="center" vertical="top" wrapText="1"/>
    </xf>
    <xf numFmtId="0" fontId="4" fillId="3" borderId="15" xfId="0" applyFont="1" applyFill="1" applyBorder="1"/>
    <xf numFmtId="0" fontId="4" fillId="3" borderId="18" xfId="0" applyFont="1" applyFill="1" applyBorder="1" applyAlignment="1">
      <alignment horizontal="center" vertical="top" wrapText="1"/>
    </xf>
    <xf numFmtId="0" fontId="4" fillId="3" borderId="10" xfId="0" applyFont="1" applyFill="1" applyBorder="1"/>
    <xf numFmtId="0" fontId="4" fillId="3" borderId="37" xfId="0" applyFont="1" applyFill="1" applyBorder="1" applyAlignment="1">
      <alignment horizontal="center" wrapText="1"/>
    </xf>
    <xf numFmtId="0" fontId="4" fillId="3" borderId="52" xfId="0" applyFont="1" applyFill="1" applyBorder="1"/>
    <xf numFmtId="0" fontId="4" fillId="3" borderId="49" xfId="0" applyFont="1" applyFill="1" applyBorder="1" applyAlignment="1">
      <alignment horizontal="center" wrapText="1"/>
    </xf>
    <xf numFmtId="0" fontId="4" fillId="3" borderId="38" xfId="0" applyFont="1" applyFill="1" applyBorder="1"/>
    <xf numFmtId="0" fontId="4" fillId="3" borderId="0" xfId="0" applyFont="1" applyFill="1" applyBorder="1" applyAlignment="1">
      <alignment horizontal="center" wrapText="1"/>
    </xf>
    <xf numFmtId="0" fontId="4" fillId="3" borderId="12" xfId="0" applyFont="1" applyFill="1" applyBorder="1"/>
    <xf numFmtId="0" fontId="4" fillId="3" borderId="71" xfId="0" applyFont="1" applyFill="1" applyBorder="1" applyAlignment="1">
      <alignment horizontal="center"/>
    </xf>
    <xf numFmtId="0" fontId="4" fillId="3" borderId="7" xfId="0" applyFont="1" applyFill="1" applyBorder="1" applyAlignment="1">
      <alignment horizontal="center" wrapText="1"/>
    </xf>
    <xf numFmtId="0" fontId="4" fillId="3" borderId="7" xfId="0" applyFont="1" applyFill="1" applyBorder="1"/>
    <xf numFmtId="0" fontId="0" fillId="0" borderId="0" xfId="0"/>
    <xf numFmtId="0" fontId="0" fillId="0" borderId="0" xfId="0"/>
    <xf numFmtId="11" fontId="4" fillId="0" borderId="19" xfId="0" applyNumberFormat="1" applyFont="1" applyBorder="1" applyAlignment="1">
      <alignment horizontal="center"/>
    </xf>
    <xf numFmtId="11" fontId="4" fillId="0" borderId="8" xfId="0" applyNumberFormat="1" applyFont="1" applyBorder="1" applyAlignment="1">
      <alignment horizontal="center"/>
    </xf>
    <xf numFmtId="3" fontId="4" fillId="3" borderId="33" xfId="0" applyNumberFormat="1" applyFont="1" applyFill="1" applyBorder="1"/>
    <xf numFmtId="0" fontId="4" fillId="3" borderId="9" xfId="175" applyNumberFormat="1" applyFont="1" applyFill="1" applyBorder="1" applyAlignment="1">
      <alignment horizontal="right" vertical="center"/>
    </xf>
    <xf numFmtId="0" fontId="4" fillId="3" borderId="9" xfId="0" applyFont="1" applyFill="1" applyBorder="1"/>
    <xf numFmtId="11" fontId="4" fillId="0" borderId="5" xfId="0" applyNumberFormat="1" applyFont="1" applyBorder="1" applyAlignment="1">
      <alignment horizontal="center"/>
    </xf>
    <xf numFmtId="11" fontId="4" fillId="0" borderId="16" xfId="0" applyNumberFormat="1" applyFont="1" applyBorder="1" applyAlignment="1">
      <alignment horizontal="center"/>
    </xf>
    <xf numFmtId="166" fontId="4" fillId="0" borderId="29" xfId="0" applyNumberFormat="1" applyFont="1" applyBorder="1" applyAlignment="1">
      <alignment horizontal="center"/>
    </xf>
    <xf numFmtId="1" fontId="4" fillId="0" borderId="31" xfId="0" applyNumberFormat="1" applyFont="1" applyBorder="1" applyAlignment="1">
      <alignment horizontal="center"/>
    </xf>
    <xf numFmtId="0" fontId="4" fillId="3" borderId="0" xfId="175" applyNumberFormat="1" applyFont="1" applyFill="1" applyBorder="1" applyAlignment="1">
      <alignment horizontal="right" vertical="center"/>
    </xf>
    <xf numFmtId="0" fontId="4" fillId="3" borderId="26" xfId="0" applyFont="1" applyFill="1" applyBorder="1" applyAlignment="1">
      <alignment horizontal="center" wrapText="1"/>
    </xf>
    <xf numFmtId="0" fontId="4" fillId="3" borderId="36" xfId="0" applyFont="1" applyFill="1" applyBorder="1" applyAlignment="1">
      <alignment horizontal="center" wrapText="1"/>
    </xf>
    <xf numFmtId="0" fontId="4" fillId="3" borderId="18" xfId="0" applyFont="1" applyFill="1" applyBorder="1" applyAlignment="1">
      <alignment horizontal="center" wrapText="1"/>
    </xf>
    <xf numFmtId="0" fontId="4" fillId="3" borderId="53" xfId="0" applyFont="1" applyFill="1" applyBorder="1" applyAlignment="1">
      <alignment horizontal="center" wrapText="1"/>
    </xf>
    <xf numFmtId="0" fontId="4" fillId="3" borderId="81" xfId="0" applyFont="1" applyFill="1" applyBorder="1"/>
    <xf numFmtId="166" fontId="4" fillId="0" borderId="27" xfId="0" applyNumberFormat="1" applyFont="1" applyBorder="1" applyAlignment="1">
      <alignment horizontal="center"/>
    </xf>
    <xf numFmtId="166" fontId="4" fillId="0" borderId="30" xfId="0" applyNumberFormat="1" applyFont="1" applyBorder="1" applyAlignment="1">
      <alignment horizontal="center"/>
    </xf>
    <xf numFmtId="166" fontId="4" fillId="0" borderId="28" xfId="0" applyNumberFormat="1" applyFont="1" applyBorder="1" applyAlignment="1">
      <alignment horizontal="center"/>
    </xf>
    <xf numFmtId="11" fontId="4" fillId="0" borderId="37" xfId="0" applyNumberFormat="1" applyFont="1" applyBorder="1" applyAlignment="1">
      <alignment horizontal="center"/>
    </xf>
    <xf numFmtId="11" fontId="4" fillId="0" borderId="50" xfId="0" applyNumberFormat="1" applyFont="1" applyBorder="1" applyAlignment="1">
      <alignment horizontal="center"/>
    </xf>
    <xf numFmtId="11" fontId="4" fillId="0" borderId="30" xfId="0" applyNumberFormat="1" applyFont="1" applyBorder="1" applyAlignment="1">
      <alignment horizontal="center"/>
    </xf>
    <xf numFmtId="164" fontId="4" fillId="0" borderId="26" xfId="0" applyNumberFormat="1" applyFont="1" applyBorder="1" applyAlignment="1">
      <alignment horizontal="center"/>
    </xf>
    <xf numFmtId="0" fontId="7" fillId="4" borderId="34" xfId="0" applyFont="1" applyFill="1" applyBorder="1" applyAlignment="1">
      <alignment horizontal="center" wrapText="1"/>
    </xf>
    <xf numFmtId="0" fontId="7" fillId="4" borderId="78" xfId="0" applyFont="1" applyFill="1" applyBorder="1" applyAlignment="1">
      <alignment horizontal="center"/>
    </xf>
    <xf numFmtId="0" fontId="7" fillId="4" borderId="80" xfId="0" applyFont="1" applyFill="1" applyBorder="1" applyAlignment="1">
      <alignment horizontal="center"/>
    </xf>
    <xf numFmtId="0" fontId="7" fillId="3" borderId="0" xfId="0" applyFont="1" applyFill="1" applyBorder="1"/>
    <xf numFmtId="2" fontId="4" fillId="0" borderId="49" xfId="0" applyNumberFormat="1" applyFont="1" applyBorder="1" applyAlignment="1">
      <alignment horizontal="center"/>
    </xf>
    <xf numFmtId="2" fontId="4" fillId="0" borderId="58" xfId="0" applyNumberFormat="1" applyFont="1" applyBorder="1" applyAlignment="1">
      <alignment horizontal="center"/>
    </xf>
    <xf numFmtId="2" fontId="4" fillId="0" borderId="61" xfId="0" applyNumberFormat="1" applyFont="1" applyBorder="1" applyAlignment="1">
      <alignment horizontal="center"/>
    </xf>
    <xf numFmtId="11" fontId="4" fillId="0" borderId="60" xfId="0" applyNumberFormat="1" applyFont="1" applyBorder="1" applyAlignment="1">
      <alignment horizontal="center"/>
    </xf>
    <xf numFmtId="11" fontId="4" fillId="0" borderId="42" xfId="0" applyNumberFormat="1" applyFont="1" applyBorder="1" applyAlignment="1">
      <alignment horizontal="center"/>
    </xf>
    <xf numFmtId="0" fontId="7" fillId="4" borderId="76" xfId="0" applyFont="1" applyFill="1" applyBorder="1"/>
    <xf numFmtId="2" fontId="4" fillId="0" borderId="36" xfId="0" applyNumberFormat="1" applyFont="1" applyBorder="1" applyAlignment="1">
      <alignment horizontal="center"/>
    </xf>
    <xf numFmtId="2" fontId="4" fillId="0" borderId="61" xfId="0" quotePrefix="1" applyNumberFormat="1" applyFont="1" applyBorder="1" applyAlignment="1">
      <alignment horizontal="center"/>
    </xf>
    <xf numFmtId="0" fontId="61" fillId="3" borderId="33" xfId="0" applyFont="1" applyFill="1" applyBorder="1"/>
    <xf numFmtId="0" fontId="0" fillId="3" borderId="33" xfId="0" applyFill="1" applyBorder="1"/>
    <xf numFmtId="0" fontId="61" fillId="3" borderId="0" xfId="0" applyFont="1" applyFill="1" applyBorder="1"/>
    <xf numFmtId="0" fontId="0" fillId="3" borderId="59" xfId="0" applyFill="1" applyBorder="1"/>
    <xf numFmtId="0" fontId="0" fillId="3" borderId="1" xfId="0" applyFill="1" applyBorder="1"/>
    <xf numFmtId="0" fontId="0" fillId="3" borderId="2" xfId="0" applyFill="1" applyBorder="1"/>
    <xf numFmtId="0" fontId="0" fillId="3" borderId="3" xfId="0" applyFill="1" applyBorder="1"/>
    <xf numFmtId="0" fontId="7" fillId="4" borderId="11" xfId="0" applyFont="1" applyFill="1" applyBorder="1"/>
    <xf numFmtId="0" fontId="1" fillId="4" borderId="12" xfId="0" applyFont="1" applyFill="1" applyBorder="1"/>
    <xf numFmtId="0" fontId="1" fillId="4" borderId="13" xfId="0" applyFont="1" applyFill="1" applyBorder="1"/>
    <xf numFmtId="0" fontId="0" fillId="3" borderId="5" xfId="0" applyFill="1" applyBorder="1"/>
    <xf numFmtId="0" fontId="4" fillId="3" borderId="15" xfId="0" applyFont="1" applyFill="1" applyBorder="1" applyAlignment="1">
      <alignment horizontal="right"/>
    </xf>
    <xf numFmtId="0" fontId="4" fillId="3" borderId="4" xfId="0" applyFont="1" applyFill="1" applyBorder="1"/>
    <xf numFmtId="0" fontId="0" fillId="3" borderId="10" xfId="0" applyFill="1" applyBorder="1"/>
    <xf numFmtId="1" fontId="4" fillId="3" borderId="10" xfId="0" applyNumberFormat="1" applyFont="1" applyFill="1" applyBorder="1"/>
    <xf numFmtId="0" fontId="4" fillId="3" borderId="20" xfId="0" applyFont="1" applyFill="1" applyBorder="1"/>
    <xf numFmtId="1" fontId="4" fillId="3" borderId="0" xfId="0" applyNumberFormat="1" applyFont="1" applyFill="1" applyBorder="1"/>
    <xf numFmtId="11" fontId="0" fillId="0" borderId="0" xfId="0" applyNumberFormat="1"/>
    <xf numFmtId="0" fontId="0" fillId="0" borderId="0" xfId="0" applyNumberFormat="1"/>
    <xf numFmtId="0" fontId="0" fillId="3" borderId="6" xfId="0" applyFill="1" applyBorder="1"/>
    <xf numFmtId="0" fontId="0" fillId="3" borderId="7" xfId="0" applyFill="1" applyBorder="1"/>
    <xf numFmtId="0" fontId="61" fillId="3" borderId="7" xfId="0" applyFont="1" applyFill="1" applyBorder="1" applyAlignment="1">
      <alignment horizontal="right"/>
    </xf>
    <xf numFmtId="0" fontId="61" fillId="3" borderId="8" xfId="0" applyFont="1" applyFill="1" applyBorder="1"/>
    <xf numFmtId="0" fontId="0" fillId="3" borderId="8" xfId="0" applyFill="1" applyBorder="1"/>
    <xf numFmtId="0" fontId="61" fillId="3" borderId="32" xfId="0" applyFont="1" applyFill="1" applyBorder="1"/>
    <xf numFmtId="0" fontId="4" fillId="3" borderId="14" xfId="0" applyFont="1" applyFill="1" applyBorder="1"/>
    <xf numFmtId="0" fontId="0" fillId="3" borderId="15" xfId="0" applyFill="1" applyBorder="1"/>
    <xf numFmtId="0" fontId="0" fillId="3" borderId="54" xfId="0" applyFill="1" applyBorder="1"/>
    <xf numFmtId="1" fontId="4" fillId="3" borderId="59" xfId="0" applyNumberFormat="1" applyFont="1" applyFill="1" applyBorder="1"/>
    <xf numFmtId="0" fontId="2" fillId="3" borderId="33" xfId="0" applyFont="1" applyFill="1" applyBorder="1"/>
    <xf numFmtId="165" fontId="61" fillId="3" borderId="33" xfId="0" applyNumberFormat="1" applyFont="1" applyFill="1" applyBorder="1"/>
    <xf numFmtId="0" fontId="61" fillId="3" borderId="25" xfId="0" applyFont="1" applyFill="1" applyBorder="1"/>
    <xf numFmtId="0" fontId="4" fillId="3" borderId="6" xfId="0" applyFont="1" applyFill="1" applyBorder="1"/>
    <xf numFmtId="1" fontId="4" fillId="3" borderId="7" xfId="0" applyNumberFormat="1" applyFont="1" applyFill="1" applyBorder="1"/>
    <xf numFmtId="0" fontId="4" fillId="3" borderId="8" xfId="0" applyFont="1" applyFill="1" applyBorder="1"/>
    <xf numFmtId="2" fontId="15" fillId="0" borderId="0" xfId="174" applyNumberFormat="1" applyFont="1" applyFill="1" applyAlignment="1">
      <alignment vertical="center"/>
    </xf>
    <xf numFmtId="0" fontId="7" fillId="4" borderId="74" xfId="0" applyFont="1" applyFill="1" applyBorder="1"/>
    <xf numFmtId="164" fontId="4" fillId="0" borderId="24" xfId="0" applyNumberFormat="1" applyFont="1" applyBorder="1" applyAlignment="1">
      <alignment horizontal="center"/>
    </xf>
    <xf numFmtId="164" fontId="4" fillId="0" borderId="22" xfId="0" applyNumberFormat="1" applyFont="1" applyBorder="1" applyAlignment="1">
      <alignment horizontal="center"/>
    </xf>
    <xf numFmtId="164" fontId="4" fillId="0" borderId="76" xfId="0" applyNumberFormat="1" applyFont="1" applyBorder="1" applyAlignment="1">
      <alignment horizontal="center"/>
    </xf>
    <xf numFmtId="2" fontId="4" fillId="0" borderId="24" xfId="0" applyNumberFormat="1" applyFont="1" applyBorder="1" applyAlignment="1">
      <alignment horizontal="center"/>
    </xf>
    <xf numFmtId="2" fontId="4" fillId="0" borderId="74" xfId="0" applyNumberFormat="1" applyFont="1" applyBorder="1" applyAlignment="1">
      <alignment horizontal="center"/>
    </xf>
    <xf numFmtId="11" fontId="4" fillId="0" borderId="22" xfId="0" applyNumberFormat="1" applyFont="1" applyBorder="1" applyAlignment="1">
      <alignment horizontal="center"/>
    </xf>
    <xf numFmtId="166" fontId="4" fillId="0" borderId="76" xfId="0" applyNumberFormat="1" applyFont="1" applyBorder="1" applyAlignment="1">
      <alignment horizontal="center"/>
    </xf>
    <xf numFmtId="0" fontId="4" fillId="0" borderId="26" xfId="0" applyFont="1" applyBorder="1"/>
    <xf numFmtId="0" fontId="4" fillId="0" borderId="18" xfId="0" applyFont="1" applyBorder="1"/>
    <xf numFmtId="0" fontId="4" fillId="0" borderId="37" xfId="0" applyFont="1" applyBorder="1"/>
    <xf numFmtId="0" fontId="4" fillId="0" borderId="8" xfId="0" applyFont="1" applyBorder="1" applyAlignment="1">
      <alignment horizontal="center"/>
    </xf>
    <xf numFmtId="0" fontId="4" fillId="0" borderId="27" xfId="0" applyFont="1" applyBorder="1" applyAlignment="1">
      <alignment horizontal="center"/>
    </xf>
    <xf numFmtId="0" fontId="0" fillId="0" borderId="36" xfId="0" quotePrefix="1" applyBorder="1" applyAlignment="1">
      <alignment horizontal="center" vertical="center"/>
    </xf>
    <xf numFmtId="0" fontId="4" fillId="0" borderId="36"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16" xfId="0" applyFont="1" applyBorder="1" applyAlignment="1">
      <alignment horizontal="center"/>
    </xf>
    <xf numFmtId="0" fontId="0" fillId="0" borderId="26" xfId="0" quotePrefix="1" applyBorder="1" applyAlignment="1">
      <alignment horizontal="center" vertical="center"/>
    </xf>
    <xf numFmtId="0" fontId="0" fillId="0" borderId="40" xfId="0" applyBorder="1" applyAlignment="1">
      <alignment horizontal="center"/>
    </xf>
    <xf numFmtId="0" fontId="0" fillId="0" borderId="25" xfId="0" applyBorder="1" applyAlignment="1">
      <alignment horizontal="center"/>
    </xf>
    <xf numFmtId="0" fontId="0" fillId="0" borderId="60" xfId="0" applyBorder="1" applyAlignment="1">
      <alignment horizontal="center"/>
    </xf>
    <xf numFmtId="3" fontId="4" fillId="0" borderId="17" xfId="0" applyNumberFormat="1" applyFont="1" applyBorder="1" applyAlignment="1">
      <alignment horizontal="center"/>
    </xf>
    <xf numFmtId="11" fontId="4" fillId="0" borderId="41" xfId="0" applyNumberFormat="1" applyFont="1" applyBorder="1"/>
    <xf numFmtId="11" fontId="4" fillId="0" borderId="9" xfId="0" applyNumberFormat="1" applyFont="1" applyBorder="1"/>
    <xf numFmtId="11" fontId="4" fillId="0" borderId="52" xfId="0" applyNumberFormat="1" applyFont="1" applyBorder="1"/>
    <xf numFmtId="0" fontId="4" fillId="0" borderId="40" xfId="0" applyFont="1" applyBorder="1" applyAlignment="1">
      <alignment horizontal="center"/>
    </xf>
    <xf numFmtId="0" fontId="4" fillId="0" borderId="18" xfId="0" applyFont="1" applyBorder="1" applyAlignment="1">
      <alignment horizontal="center"/>
    </xf>
    <xf numFmtId="0" fontId="4" fillId="0" borderId="37" xfId="0" applyFont="1" applyBorder="1" applyAlignment="1">
      <alignment horizontal="center"/>
    </xf>
    <xf numFmtId="0" fontId="4" fillId="0" borderId="56" xfId="0" applyFont="1" applyBorder="1" applyAlignment="1">
      <alignment horizontal="center"/>
    </xf>
    <xf numFmtId="0" fontId="4" fillId="0" borderId="21" xfId="0" applyFont="1" applyBorder="1" applyAlignment="1">
      <alignment horizontal="center" vertical="center"/>
    </xf>
    <xf numFmtId="3" fontId="4" fillId="0" borderId="21" xfId="0" applyNumberFormat="1" applyFont="1" applyBorder="1" applyAlignment="1">
      <alignment horizontal="center" vertical="center"/>
    </xf>
    <xf numFmtId="0" fontId="61" fillId="0" borderId="13" xfId="0" applyFont="1" applyBorder="1" applyAlignment="1">
      <alignment horizontal="center" vertical="center"/>
    </xf>
    <xf numFmtId="0" fontId="7" fillId="5" borderId="21"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4" fillId="5" borderId="21" xfId="0" applyFont="1" applyFill="1" applyBorder="1"/>
    <xf numFmtId="0" fontId="7" fillId="5" borderId="21" xfId="0" applyFont="1" applyFill="1" applyBorder="1" applyAlignment="1">
      <alignment horizontal="center" vertical="center"/>
    </xf>
    <xf numFmtId="0" fontId="7" fillId="5" borderId="21" xfId="0" applyFont="1" applyFill="1" applyBorder="1" applyAlignment="1">
      <alignment horizontal="center" vertical="center" wrapText="1"/>
    </xf>
    <xf numFmtId="0" fontId="4" fillId="5" borderId="55" xfId="0" applyFont="1" applyFill="1" applyBorder="1"/>
    <xf numFmtId="0" fontId="7" fillId="5" borderId="55" xfId="0" applyFont="1" applyFill="1" applyBorder="1" applyAlignment="1">
      <alignment horizontal="center"/>
    </xf>
    <xf numFmtId="0" fontId="0" fillId="0" borderId="4" xfId="0" applyBorder="1"/>
    <xf numFmtId="0" fontId="7" fillId="5" borderId="21" xfId="0" applyFont="1" applyFill="1" applyBorder="1" applyAlignment="1">
      <alignment horizontal="center"/>
    </xf>
    <xf numFmtId="0" fontId="7" fillId="5" borderId="47" xfId="0" applyFont="1" applyFill="1" applyBorder="1" applyAlignment="1">
      <alignment horizontal="center"/>
    </xf>
    <xf numFmtId="0" fontId="7" fillId="5" borderId="55" xfId="0" applyFont="1" applyFill="1" applyBorder="1" applyAlignment="1">
      <alignment horizontal="center" vertical="center"/>
    </xf>
    <xf numFmtId="0" fontId="4" fillId="3" borderId="0" xfId="0" applyFont="1" applyFill="1" applyBorder="1" applyAlignment="1">
      <alignment horizontal="left"/>
    </xf>
    <xf numFmtId="0" fontId="7" fillId="3" borderId="5" xfId="0" applyFont="1" applyFill="1" applyBorder="1" applyAlignment="1">
      <alignment horizontal="center" vertical="center" wrapText="1"/>
    </xf>
    <xf numFmtId="0" fontId="7" fillId="3" borderId="5" xfId="0" applyFont="1" applyFill="1" applyBorder="1" applyAlignment="1">
      <alignment horizontal="left" vertical="center" wrapText="1"/>
    </xf>
    <xf numFmtId="0" fontId="61" fillId="3" borderId="10" xfId="0" applyFont="1" applyFill="1" applyBorder="1"/>
    <xf numFmtId="0" fontId="61" fillId="3" borderId="5" xfId="0" applyFont="1" applyFill="1" applyBorder="1" applyAlignment="1">
      <alignment horizontal="center" vertical="center"/>
    </xf>
    <xf numFmtId="0" fontId="4" fillId="3" borderId="36" xfId="0" applyFont="1" applyFill="1" applyBorder="1" applyAlignment="1">
      <alignment horizontal="center"/>
    </xf>
    <xf numFmtId="0" fontId="4" fillId="3" borderId="25" xfId="0" applyFont="1" applyFill="1" applyBorder="1" applyAlignment="1">
      <alignment horizontal="center"/>
    </xf>
    <xf numFmtId="164" fontId="4" fillId="3" borderId="76" xfId="0" applyNumberFormat="1" applyFont="1" applyFill="1" applyBorder="1" applyAlignment="1">
      <alignment horizontal="center"/>
    </xf>
    <xf numFmtId="2" fontId="4" fillId="3" borderId="5" xfId="0" applyNumberFormat="1" applyFont="1" applyFill="1" applyBorder="1"/>
    <xf numFmtId="0" fontId="0" fillId="3" borderId="55" xfId="0" applyFill="1" applyBorder="1"/>
    <xf numFmtId="0" fontId="0" fillId="3" borderId="22" xfId="0" applyFill="1" applyBorder="1"/>
    <xf numFmtId="0" fontId="2" fillId="3" borderId="22" xfId="0" applyFont="1" applyFill="1" applyBorder="1"/>
    <xf numFmtId="11" fontId="7" fillId="3" borderId="0" xfId="0" applyNumberFormat="1" applyFont="1" applyFill="1" applyBorder="1"/>
    <xf numFmtId="0" fontId="4" fillId="3" borderId="33" xfId="0" applyFont="1" applyFill="1" applyBorder="1"/>
    <xf numFmtId="0" fontId="7" fillId="3" borderId="33" xfId="0" applyFont="1" applyFill="1" applyBorder="1"/>
    <xf numFmtId="11" fontId="7" fillId="3" borderId="33" xfId="0" applyNumberFormat="1" applyFont="1" applyFill="1" applyBorder="1"/>
    <xf numFmtId="0" fontId="4" fillId="3" borderId="10" xfId="0" applyNumberFormat="1" applyFont="1" applyFill="1" applyBorder="1" applyAlignment="1">
      <alignment horizontal="right"/>
    </xf>
    <xf numFmtId="0" fontId="17" fillId="3" borderId="0" xfId="6" applyFont="1" applyFill="1" applyBorder="1" applyAlignment="1">
      <alignment vertical="center"/>
    </xf>
    <xf numFmtId="0" fontId="15" fillId="3" borderId="0" xfId="0" applyFont="1" applyFill="1" applyAlignment="1">
      <alignment vertical="center"/>
    </xf>
    <xf numFmtId="49" fontId="4" fillId="3" borderId="0" xfId="0" applyNumberFormat="1" applyFont="1" applyFill="1" applyAlignment="1">
      <alignment horizontal="right"/>
    </xf>
    <xf numFmtId="0" fontId="15" fillId="3" borderId="0" xfId="6" applyFont="1" applyFill="1" applyAlignment="1">
      <alignment vertical="center"/>
    </xf>
    <xf numFmtId="0" fontId="15" fillId="3" borderId="0" xfId="6" applyFont="1" applyFill="1" applyAlignment="1">
      <alignment horizontal="right" vertical="center"/>
    </xf>
    <xf numFmtId="0" fontId="15" fillId="3" borderId="0" xfId="6" applyFont="1" applyFill="1" applyAlignment="1">
      <alignment horizontal="left" vertical="center"/>
    </xf>
    <xf numFmtId="0" fontId="0" fillId="3" borderId="0" xfId="0" applyFill="1" applyAlignment="1">
      <alignment vertical="center"/>
    </xf>
    <xf numFmtId="0" fontId="55" fillId="3" borderId="33" xfId="0" applyFont="1" applyFill="1" applyBorder="1"/>
    <xf numFmtId="0" fontId="10" fillId="3" borderId="0" xfId="2" applyFont="1" applyFill="1" applyAlignment="1">
      <alignment vertical="center"/>
    </xf>
    <xf numFmtId="0" fontId="10" fillId="3" borderId="0" xfId="2" applyFont="1" applyFill="1" applyAlignment="1">
      <alignment horizontal="left" vertical="center"/>
    </xf>
    <xf numFmtId="0" fontId="10" fillId="3" borderId="0" xfId="0" applyFont="1" applyFill="1" applyBorder="1"/>
    <xf numFmtId="1" fontId="4" fillId="3" borderId="30" xfId="0" applyNumberFormat="1" applyFont="1" applyFill="1" applyBorder="1" applyAlignment="1">
      <alignment horizontal="center"/>
    </xf>
    <xf numFmtId="1" fontId="4" fillId="3" borderId="5" xfId="0" applyNumberFormat="1" applyFont="1" applyFill="1" applyBorder="1" applyAlignment="1">
      <alignment horizontal="center"/>
    </xf>
    <xf numFmtId="0" fontId="7" fillId="5" borderId="34" xfId="0" applyFont="1" applyFill="1" applyBorder="1"/>
    <xf numFmtId="11" fontId="7" fillId="5" borderId="82" xfId="0" applyNumberFormat="1" applyFont="1" applyFill="1" applyBorder="1"/>
    <xf numFmtId="0" fontId="7" fillId="5" borderId="34" xfId="0" applyFont="1" applyFill="1" applyBorder="1" applyAlignment="1">
      <alignment horizontal="center"/>
    </xf>
    <xf numFmtId="0" fontId="7" fillId="5" borderId="13" xfId="0" applyFont="1" applyFill="1" applyBorder="1" applyAlignment="1">
      <alignment horizontal="center"/>
    </xf>
    <xf numFmtId="2" fontId="4" fillId="3" borderId="43" xfId="0" applyNumberFormat="1" applyFont="1" applyFill="1" applyBorder="1" applyAlignment="1">
      <alignment horizontal="center"/>
    </xf>
    <xf numFmtId="0" fontId="4" fillId="3" borderId="46" xfId="0" applyFont="1" applyFill="1" applyBorder="1" applyAlignment="1">
      <alignment vertical="center"/>
    </xf>
    <xf numFmtId="0" fontId="0" fillId="5" borderId="11" xfId="0" applyFill="1" applyBorder="1"/>
    <xf numFmtId="0" fontId="4" fillId="5" borderId="12" xfId="0" applyFont="1" applyFill="1" applyBorder="1"/>
    <xf numFmtId="0" fontId="7" fillId="5" borderId="12" xfId="0" applyFont="1" applyFill="1" applyBorder="1"/>
    <xf numFmtId="11" fontId="7" fillId="5" borderId="13" xfId="0" applyNumberFormat="1" applyFont="1" applyFill="1" applyBorder="1"/>
    <xf numFmtId="0" fontId="18" fillId="0" borderId="61" xfId="1" applyNumberFormat="1" applyFont="1" applyFill="1" applyBorder="1" applyAlignment="1">
      <alignment horizontal="center" vertical="center"/>
    </xf>
    <xf numFmtId="3" fontId="67" fillId="0" borderId="28" xfId="0" applyNumberFormat="1" applyFont="1" applyBorder="1" applyAlignment="1">
      <alignment horizontal="center" vertical="center"/>
    </xf>
    <xf numFmtId="3" fontId="67" fillId="0" borderId="29" xfId="0" applyNumberFormat="1" applyFont="1" applyBorder="1" applyAlignment="1">
      <alignment horizontal="center" vertical="center"/>
    </xf>
    <xf numFmtId="3" fontId="67" fillId="0" borderId="58" xfId="0" applyNumberFormat="1" applyFont="1" applyBorder="1" applyAlignment="1">
      <alignment horizontal="center" vertical="center"/>
    </xf>
    <xf numFmtId="3" fontId="10" fillId="0" borderId="0" xfId="0" applyNumberFormat="1" applyFont="1" applyBorder="1" applyAlignment="1">
      <alignment vertical="center"/>
    </xf>
    <xf numFmtId="3" fontId="15" fillId="0" borderId="0" xfId="0" quotePrefix="1" applyNumberFormat="1" applyFont="1" applyBorder="1" applyAlignment="1">
      <alignment horizontal="center" vertical="center"/>
    </xf>
    <xf numFmtId="3" fontId="15" fillId="0" borderId="0" xfId="0" quotePrefix="1" applyNumberFormat="1" applyFont="1" applyBorder="1" applyAlignment="1">
      <alignment vertical="center"/>
    </xf>
    <xf numFmtId="3" fontId="15" fillId="0" borderId="0" xfId="0" applyNumberFormat="1" applyFont="1" applyBorder="1" applyAlignment="1">
      <alignment vertical="center"/>
    </xf>
    <xf numFmtId="0" fontId="15" fillId="3" borderId="0" xfId="0" applyFont="1" applyFill="1" applyBorder="1" applyAlignment="1">
      <alignment vertical="center"/>
    </xf>
    <xf numFmtId="0" fontId="17" fillId="3" borderId="33" xfId="1" applyFont="1" applyFill="1" applyBorder="1" applyAlignment="1">
      <alignment vertical="center"/>
    </xf>
    <xf numFmtId="0" fontId="15" fillId="3" borderId="33" xfId="1" applyFont="1" applyFill="1" applyBorder="1" applyAlignment="1">
      <alignment vertical="center"/>
    </xf>
    <xf numFmtId="0" fontId="15" fillId="3" borderId="0" xfId="5" applyFont="1" applyFill="1" applyAlignment="1">
      <alignment vertical="center"/>
    </xf>
    <xf numFmtId="166" fontId="4" fillId="3" borderId="0" xfId="0" applyNumberFormat="1" applyFont="1" applyFill="1" applyBorder="1"/>
    <xf numFmtId="2" fontId="4" fillId="3" borderId="0" xfId="0" applyNumberFormat="1" applyFont="1" applyFill="1" applyBorder="1"/>
    <xf numFmtId="2" fontId="61" fillId="3" borderId="7" xfId="0" applyNumberFormat="1" applyFont="1" applyFill="1" applyBorder="1"/>
    <xf numFmtId="173" fontId="4" fillId="0" borderId="23" xfId="175" applyNumberFormat="1" applyFont="1" applyBorder="1" applyAlignment="1">
      <alignment horizontal="center" vertical="center"/>
    </xf>
    <xf numFmtId="1" fontId="4" fillId="0" borderId="24" xfId="0" applyNumberFormat="1" applyFont="1" applyBorder="1" applyAlignment="1">
      <alignment horizontal="center" vertical="center"/>
    </xf>
    <xf numFmtId="11" fontId="4" fillId="0" borderId="24" xfId="0" applyNumberFormat="1" applyFont="1" applyBorder="1" applyAlignment="1">
      <alignment horizontal="center" vertical="center"/>
    </xf>
    <xf numFmtId="173" fontId="4" fillId="0" borderId="24" xfId="175" applyNumberFormat="1" applyFont="1" applyBorder="1" applyAlignment="1">
      <alignment horizontal="center" vertical="center"/>
    </xf>
    <xf numFmtId="173" fontId="4" fillId="0" borderId="47" xfId="175" applyNumberFormat="1" applyFont="1" applyBorder="1" applyAlignment="1">
      <alignment horizontal="center" vertical="center"/>
    </xf>
    <xf numFmtId="0" fontId="0" fillId="3" borderId="5" xfId="0" applyFill="1" applyBorder="1" applyAlignment="1">
      <alignment horizontal="center"/>
    </xf>
    <xf numFmtId="2" fontId="4" fillId="3" borderId="30" xfId="0" applyNumberFormat="1" applyFont="1" applyFill="1" applyBorder="1" applyAlignment="1">
      <alignment horizontal="center"/>
    </xf>
    <xf numFmtId="2" fontId="4" fillId="3" borderId="5" xfId="0" applyNumberFormat="1" applyFont="1" applyFill="1" applyBorder="1" applyAlignment="1">
      <alignment horizontal="center"/>
    </xf>
    <xf numFmtId="11" fontId="4" fillId="3" borderId="81" xfId="0" applyNumberFormat="1" applyFont="1" applyFill="1" applyBorder="1" applyAlignment="1">
      <alignment horizontal="center"/>
    </xf>
    <xf numFmtId="11" fontId="4" fillId="3" borderId="83" xfId="0" applyNumberFormat="1" applyFont="1" applyFill="1" applyBorder="1" applyAlignment="1">
      <alignment horizontal="center"/>
    </xf>
    <xf numFmtId="1" fontId="4" fillId="0" borderId="49" xfId="0" applyNumberFormat="1" applyFont="1" applyBorder="1" applyAlignment="1">
      <alignment horizontal="center"/>
    </xf>
    <xf numFmtId="1" fontId="4" fillId="0" borderId="58" xfId="0" applyNumberFormat="1" applyFont="1" applyBorder="1" applyAlignment="1">
      <alignment horizontal="center"/>
    </xf>
    <xf numFmtId="11" fontId="4" fillId="0" borderId="18" xfId="0" applyNumberFormat="1" applyFont="1" applyBorder="1" applyAlignment="1">
      <alignment horizontal="center"/>
    </xf>
    <xf numFmtId="11" fontId="4" fillId="0" borderId="48" xfId="0" applyNumberFormat="1" applyFont="1" applyBorder="1" applyAlignment="1">
      <alignment horizontal="center"/>
    </xf>
    <xf numFmtId="11" fontId="4" fillId="0" borderId="29" xfId="0" applyNumberFormat="1" applyFont="1" applyBorder="1" applyAlignment="1">
      <alignment horizontal="center"/>
    </xf>
    <xf numFmtId="164" fontId="4" fillId="0" borderId="8" xfId="0" applyNumberFormat="1" applyFont="1" applyBorder="1" applyAlignment="1">
      <alignment horizontal="center"/>
    </xf>
    <xf numFmtId="164" fontId="4" fillId="0" borderId="16" xfId="0" applyNumberFormat="1" applyFont="1" applyBorder="1" applyAlignment="1">
      <alignment horizontal="center"/>
    </xf>
    <xf numFmtId="164" fontId="4" fillId="0" borderId="57" xfId="0" applyNumberFormat="1" applyFont="1" applyBorder="1" applyAlignment="1">
      <alignment horizontal="center"/>
    </xf>
    <xf numFmtId="0" fontId="4" fillId="3" borderId="22" xfId="0" applyFont="1" applyFill="1" applyBorder="1"/>
    <xf numFmtId="11" fontId="4" fillId="3" borderId="5" xfId="0" applyNumberFormat="1" applyFont="1" applyFill="1" applyBorder="1"/>
    <xf numFmtId="0" fontId="4" fillId="3" borderId="0" xfId="0" applyFont="1" applyFill="1" applyBorder="1" applyAlignment="1">
      <alignment horizontal="center" vertical="center"/>
    </xf>
    <xf numFmtId="3" fontId="4" fillId="3" borderId="0" xfId="0" applyNumberFormat="1" applyFont="1" applyFill="1" applyBorder="1" applyAlignment="1">
      <alignment horizontal="center" vertical="center"/>
    </xf>
    <xf numFmtId="0" fontId="61" fillId="3" borderId="0" xfId="0" applyFont="1" applyFill="1" applyBorder="1" applyAlignment="1">
      <alignment horizontal="center" vertical="center"/>
    </xf>
    <xf numFmtId="0" fontId="7" fillId="3" borderId="0" xfId="0" applyFont="1" applyFill="1" applyBorder="1" applyAlignment="1">
      <alignment wrapText="1"/>
    </xf>
    <xf numFmtId="0" fontId="7" fillId="3" borderId="4" xfId="0" applyFont="1" applyFill="1" applyBorder="1" applyAlignment="1">
      <alignment wrapText="1"/>
    </xf>
    <xf numFmtId="2" fontId="4" fillId="3" borderId="9" xfId="0" applyNumberFormat="1" applyFont="1" applyFill="1" applyBorder="1" applyAlignment="1">
      <alignment horizontal="right"/>
    </xf>
    <xf numFmtId="0" fontId="68" fillId="2" borderId="0" xfId="0" applyNumberFormat="1" applyFont="1" applyFill="1"/>
    <xf numFmtId="0" fontId="68" fillId="0" borderId="0" xfId="0" applyNumberFormat="1" applyFont="1"/>
    <xf numFmtId="0" fontId="10" fillId="3" borderId="0" xfId="0" applyFont="1" applyFill="1" applyBorder="1" applyAlignment="1">
      <alignment horizontal="left"/>
    </xf>
    <xf numFmtId="0" fontId="7" fillId="4" borderId="0" xfId="0" applyFont="1" applyFill="1" applyBorder="1"/>
    <xf numFmtId="173" fontId="4" fillId="3" borderId="0" xfId="175" applyNumberFormat="1" applyFont="1" applyFill="1" applyBorder="1" applyAlignment="1">
      <alignment horizontal="center" vertical="center"/>
    </xf>
    <xf numFmtId="3" fontId="4" fillId="3" borderId="0" xfId="0" applyNumberFormat="1" applyFont="1" applyFill="1" applyBorder="1" applyAlignment="1">
      <alignment horizontal="center"/>
    </xf>
    <xf numFmtId="0" fontId="4" fillId="3" borderId="0" xfId="0" applyFont="1" applyFill="1" applyBorder="1" applyAlignment="1">
      <alignment horizontal="center"/>
    </xf>
    <xf numFmtId="0" fontId="0" fillId="3" borderId="12" xfId="0" applyFill="1" applyBorder="1"/>
    <xf numFmtId="173" fontId="4" fillId="3" borderId="12" xfId="175" applyNumberFormat="1" applyFont="1" applyFill="1" applyBorder="1" applyAlignment="1">
      <alignment horizontal="center" vertical="center"/>
    </xf>
    <xf numFmtId="3" fontId="4" fillId="3" borderId="12" xfId="0" applyNumberFormat="1" applyFont="1" applyFill="1" applyBorder="1" applyAlignment="1">
      <alignment horizontal="center"/>
    </xf>
    <xf numFmtId="0" fontId="4" fillId="3" borderId="12" xfId="0" applyFont="1" applyFill="1" applyBorder="1" applyAlignment="1">
      <alignment horizontal="center"/>
    </xf>
    <xf numFmtId="0" fontId="7" fillId="3" borderId="2" xfId="0" applyFont="1" applyFill="1" applyBorder="1"/>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4" fillId="0" borderId="17" xfId="0" applyFont="1" applyBorder="1" applyAlignment="1">
      <alignment horizontal="center"/>
    </xf>
    <xf numFmtId="0" fontId="15" fillId="3" borderId="5" xfId="1" applyFont="1" applyFill="1" applyBorder="1" applyAlignment="1">
      <alignment vertical="center"/>
    </xf>
    <xf numFmtId="0" fontId="7" fillId="3" borderId="12" xfId="0" applyFont="1" applyFill="1" applyBorder="1"/>
    <xf numFmtId="0" fontId="4" fillId="0" borderId="49" xfId="0" applyFont="1" applyBorder="1" applyAlignment="1">
      <alignment horizontal="center"/>
    </xf>
    <xf numFmtId="0" fontId="4" fillId="0" borderId="57" xfId="0" applyFont="1" applyBorder="1" applyAlignment="1">
      <alignment horizontal="center"/>
    </xf>
    <xf numFmtId="0" fontId="4" fillId="0" borderId="35" xfId="0" quotePrefix="1" applyFont="1" applyBorder="1" applyAlignment="1">
      <alignment horizontal="center"/>
    </xf>
    <xf numFmtId="0" fontId="4" fillId="0" borderId="18" xfId="0" quotePrefix="1" applyFont="1" applyBorder="1" applyAlignment="1">
      <alignment horizontal="center"/>
    </xf>
    <xf numFmtId="0" fontId="4" fillId="0" borderId="27" xfId="0" quotePrefix="1" applyFont="1" applyBorder="1" applyAlignment="1">
      <alignment horizontal="center"/>
    </xf>
    <xf numFmtId="0" fontId="4" fillId="0" borderId="40" xfId="0" quotePrefix="1" applyFont="1" applyBorder="1" applyAlignment="1">
      <alignment horizontal="center"/>
    </xf>
    <xf numFmtId="0" fontId="4" fillId="0" borderId="42" xfId="0" quotePrefix="1" applyFont="1" applyBorder="1" applyAlignment="1">
      <alignment horizontal="center"/>
    </xf>
    <xf numFmtId="0" fontId="4" fillId="0" borderId="5" xfId="0" quotePrefix="1" applyFont="1" applyBorder="1" applyAlignment="1">
      <alignment horizontal="center"/>
    </xf>
    <xf numFmtId="49" fontId="10" fillId="3" borderId="0" xfId="2" applyNumberFormat="1" applyFont="1" applyFill="1" applyAlignment="1">
      <alignment vertical="center"/>
    </xf>
    <xf numFmtId="49" fontId="15" fillId="3" borderId="0" xfId="1" applyNumberFormat="1" applyFont="1" applyFill="1" applyAlignment="1">
      <alignment vertical="center"/>
    </xf>
    <xf numFmtId="49" fontId="0" fillId="3" borderId="0" xfId="0" applyNumberFormat="1" applyFill="1"/>
    <xf numFmtId="0" fontId="4" fillId="3" borderId="45" xfId="0" applyFont="1" applyFill="1" applyBorder="1"/>
    <xf numFmtId="1" fontId="4" fillId="3" borderId="54" xfId="0" applyNumberFormat="1" applyFont="1" applyFill="1" applyBorder="1"/>
    <xf numFmtId="0" fontId="61" fillId="3" borderId="6" xfId="0" applyFont="1" applyFill="1" applyBorder="1"/>
    <xf numFmtId="0" fontId="15" fillId="0" borderId="0" xfId="4" applyFont="1" applyAlignment="1">
      <alignment vertical="center"/>
    </xf>
    <xf numFmtId="0" fontId="15" fillId="0" borderId="0" xfId="4" applyFont="1" applyBorder="1" applyAlignment="1">
      <alignment vertical="center"/>
    </xf>
    <xf numFmtId="0" fontId="10" fillId="0" borderId="0" xfId="1" applyFont="1" applyAlignment="1">
      <alignment horizontal="right" vertical="center"/>
    </xf>
    <xf numFmtId="0" fontId="10" fillId="0" borderId="0" xfId="1" applyFont="1" applyAlignment="1">
      <alignment vertical="center"/>
    </xf>
    <xf numFmtId="0" fontId="55" fillId="0" borderId="0" xfId="1" applyFont="1" applyBorder="1" applyAlignment="1">
      <alignment vertical="center"/>
    </xf>
    <xf numFmtId="0" fontId="15" fillId="0" borderId="0" xfId="4" applyFont="1" applyFill="1" applyBorder="1" applyAlignment="1">
      <alignment vertical="center"/>
    </xf>
    <xf numFmtId="0" fontId="15" fillId="0" borderId="0" xfId="4" applyFont="1" applyFill="1" applyAlignment="1">
      <alignment vertical="center"/>
    </xf>
    <xf numFmtId="165" fontId="15" fillId="0" borderId="0" xfId="4" applyNumberFormat="1" applyFont="1" applyAlignment="1">
      <alignment vertical="center"/>
    </xf>
    <xf numFmtId="0" fontId="17" fillId="0" borderId="0" xfId="4" applyFont="1" applyBorder="1" applyAlignment="1">
      <alignment vertical="center"/>
    </xf>
    <xf numFmtId="0" fontId="15" fillId="0" borderId="33" xfId="4" applyFont="1" applyFill="1" applyBorder="1" applyAlignment="1">
      <alignment vertical="center"/>
    </xf>
    <xf numFmtId="165" fontId="15" fillId="0" borderId="33" xfId="4" applyNumberFormat="1" applyFont="1" applyBorder="1" applyAlignment="1">
      <alignment vertical="center"/>
    </xf>
    <xf numFmtId="0" fontId="15" fillId="0" borderId="33" xfId="4" applyFont="1" applyBorder="1" applyAlignment="1">
      <alignment vertical="center"/>
    </xf>
    <xf numFmtId="0" fontId="17" fillId="0" borderId="33" xfId="3" applyFont="1" applyBorder="1" applyAlignment="1">
      <alignment vertical="center"/>
    </xf>
    <xf numFmtId="0" fontId="70" fillId="0" borderId="0" xfId="4" applyFont="1" applyBorder="1" applyAlignment="1">
      <alignment vertical="center"/>
    </xf>
    <xf numFmtId="0" fontId="71" fillId="0" borderId="0" xfId="4" applyFont="1" applyAlignment="1">
      <alignment horizontal="centerContinuous" vertical="center"/>
    </xf>
    <xf numFmtId="2" fontId="15" fillId="0" borderId="80" xfId="3" applyNumberFormat="1" applyFont="1" applyBorder="1" applyAlignment="1">
      <alignment horizontal="center" vertical="center"/>
    </xf>
    <xf numFmtId="2" fontId="15" fillId="0" borderId="84" xfId="3" applyNumberFormat="1" applyFont="1" applyBorder="1" applyAlignment="1">
      <alignment horizontal="center" vertical="center"/>
    </xf>
    <xf numFmtId="2" fontId="15" fillId="0" borderId="34" xfId="3" applyNumberFormat="1" applyFont="1" applyBorder="1" applyAlignment="1">
      <alignment horizontal="center" vertical="center"/>
    </xf>
    <xf numFmtId="3" fontId="15" fillId="0" borderId="13" xfId="4" applyNumberFormat="1" applyFont="1" applyBorder="1" applyAlignment="1">
      <alignment horizontal="center" vertical="center"/>
    </xf>
    <xf numFmtId="0" fontId="15" fillId="0" borderId="12" xfId="4" applyFont="1" applyBorder="1" applyAlignment="1">
      <alignment vertical="center"/>
    </xf>
    <xf numFmtId="0" fontId="15" fillId="0" borderId="11" xfId="3" applyFont="1" applyBorder="1" applyAlignment="1">
      <alignment vertical="center"/>
    </xf>
    <xf numFmtId="2" fontId="20" fillId="31" borderId="83" xfId="2" applyNumberFormat="1" applyFont="1" applyFill="1" applyBorder="1" applyAlignment="1">
      <alignment horizontal="center" vertical="center"/>
    </xf>
    <xf numFmtId="2" fontId="20" fillId="31" borderId="31" xfId="2" applyNumberFormat="1" applyFont="1" applyFill="1" applyBorder="1" applyAlignment="1">
      <alignment horizontal="center" vertical="center"/>
    </xf>
    <xf numFmtId="2" fontId="20" fillId="31" borderId="17" xfId="2" applyNumberFormat="1" applyFont="1" applyFill="1" applyBorder="1" applyAlignment="1">
      <alignment horizontal="center" vertical="center"/>
    </xf>
    <xf numFmtId="0" fontId="20" fillId="31" borderId="8" xfId="4" applyFont="1" applyFill="1" applyBorder="1" applyAlignment="1">
      <alignment horizontal="centerContinuous" vertical="center"/>
    </xf>
    <xf numFmtId="0" fontId="20" fillId="31" borderId="7" xfId="4" applyFont="1" applyFill="1" applyBorder="1" applyAlignment="1">
      <alignment horizontal="centerContinuous" vertical="center"/>
    </xf>
    <xf numFmtId="0" fontId="20" fillId="31" borderId="6" xfId="4" applyFont="1" applyFill="1" applyBorder="1" applyAlignment="1">
      <alignment horizontal="centerContinuous" vertical="center"/>
    </xf>
    <xf numFmtId="0" fontId="20" fillId="31" borderId="25" xfId="2" applyFont="1" applyFill="1" applyBorder="1" applyAlignment="1">
      <alignment horizontal="centerContinuous" vertical="center" wrapText="1"/>
    </xf>
    <xf numFmtId="0" fontId="20" fillId="31" borderId="33" xfId="2" applyFont="1" applyFill="1" applyBorder="1" applyAlignment="1">
      <alignment horizontal="centerContinuous" vertical="center" wrapText="1"/>
    </xf>
    <xf numFmtId="0" fontId="20" fillId="31" borderId="32" xfId="2" applyFont="1" applyFill="1" applyBorder="1" applyAlignment="1">
      <alignment horizontal="centerContinuous" vertical="center" wrapText="1"/>
    </xf>
    <xf numFmtId="0" fontId="20" fillId="31" borderId="5" xfId="4" applyFont="1" applyFill="1" applyBorder="1" applyAlignment="1">
      <alignment horizontal="centerContinuous" vertical="center"/>
    </xf>
    <xf numFmtId="0" fontId="20" fillId="31" borderId="0" xfId="4" applyFont="1" applyFill="1" applyBorder="1" applyAlignment="1">
      <alignment horizontal="centerContinuous" vertical="center"/>
    </xf>
    <xf numFmtId="0" fontId="20" fillId="31" borderId="4" xfId="4" applyFont="1" applyFill="1" applyBorder="1" applyAlignment="1">
      <alignment horizontal="centerContinuous" vertical="center"/>
    </xf>
    <xf numFmtId="2" fontId="20" fillId="31" borderId="70" xfId="2" applyNumberFormat="1" applyFont="1" applyFill="1" applyBorder="1" applyAlignment="1">
      <alignment horizontal="centerContinuous" vertical="center"/>
    </xf>
    <xf numFmtId="2" fontId="20" fillId="31" borderId="85" xfId="2" applyNumberFormat="1" applyFont="1" applyFill="1" applyBorder="1" applyAlignment="1">
      <alignment horizontal="centerContinuous" vertical="center"/>
    </xf>
    <xf numFmtId="0" fontId="20" fillId="31" borderId="1" xfId="1" applyFont="1" applyFill="1" applyBorder="1" applyAlignment="1">
      <alignment horizontal="centerContinuous" vertical="center"/>
    </xf>
    <xf numFmtId="0" fontId="20" fillId="31" borderId="3" xfId="4" applyFont="1" applyFill="1" applyBorder="1" applyAlignment="1">
      <alignment horizontal="centerContinuous" vertical="center"/>
    </xf>
    <xf numFmtId="0" fontId="20" fillId="31" borderId="2" xfId="4" applyFont="1" applyFill="1" applyBorder="1" applyAlignment="1">
      <alignment horizontal="centerContinuous" vertical="center"/>
    </xf>
    <xf numFmtId="0" fontId="20" fillId="31" borderId="1" xfId="4" applyFont="1" applyFill="1" applyBorder="1" applyAlignment="1">
      <alignment horizontal="centerContinuous" vertical="center"/>
    </xf>
    <xf numFmtId="3" fontId="15" fillId="0" borderId="0" xfId="4" applyNumberFormat="1" applyFont="1" applyFill="1" applyAlignment="1">
      <alignment vertical="center"/>
    </xf>
    <xf numFmtId="0" fontId="15" fillId="0" borderId="0" xfId="1" applyFont="1" applyFill="1" applyBorder="1" applyAlignment="1">
      <alignment horizontal="right" vertical="center"/>
    </xf>
    <xf numFmtId="0" fontId="18" fillId="0" borderId="0" xfId="4" applyFont="1" applyAlignment="1">
      <alignment vertical="center"/>
    </xf>
    <xf numFmtId="164" fontId="15" fillId="0" borderId="0" xfId="4" applyNumberFormat="1" applyFont="1" applyFill="1" applyAlignment="1">
      <alignment vertical="center"/>
    </xf>
    <xf numFmtId="174" fontId="15" fillId="0" borderId="0" xfId="1" applyNumberFormat="1" applyFont="1" applyFill="1" applyBorder="1" applyAlignment="1">
      <alignment horizontal="center" vertical="center"/>
    </xf>
    <xf numFmtId="0" fontId="17" fillId="0" borderId="0" xfId="3" applyFont="1" applyBorder="1" applyAlignment="1">
      <alignment horizontal="centerContinuous" vertical="center"/>
    </xf>
    <xf numFmtId="0" fontId="73" fillId="0" borderId="86" xfId="1" applyFont="1" applyFill="1" applyBorder="1" applyAlignment="1">
      <alignment vertical="center"/>
    </xf>
    <xf numFmtId="1" fontId="15" fillId="0" borderId="0" xfId="4" applyNumberFormat="1" applyFont="1" applyFill="1" applyAlignment="1">
      <alignment vertical="center"/>
    </xf>
    <xf numFmtId="3" fontId="15" fillId="0" borderId="0" xfId="4" applyNumberFormat="1" applyFont="1" applyBorder="1" applyAlignment="1">
      <alignment vertical="center"/>
    </xf>
    <xf numFmtId="165" fontId="10" fillId="0" borderId="0" xfId="1" applyNumberFormat="1" applyFont="1" applyFill="1" applyBorder="1" applyAlignment="1">
      <alignment vertical="center"/>
    </xf>
    <xf numFmtId="164" fontId="4" fillId="3" borderId="24" xfId="0" applyNumberFormat="1" applyFont="1" applyFill="1" applyBorder="1" applyAlignment="1">
      <alignment horizontal="center"/>
    </xf>
    <xf numFmtId="164" fontId="4" fillId="3" borderId="22" xfId="0" applyNumberFormat="1" applyFont="1" applyFill="1" applyBorder="1" applyAlignment="1">
      <alignment horizontal="center"/>
    </xf>
    <xf numFmtId="2" fontId="4" fillId="3" borderId="24" xfId="0" applyNumberFormat="1" applyFont="1" applyFill="1" applyBorder="1" applyAlignment="1">
      <alignment horizontal="center"/>
    </xf>
    <xf numFmtId="11" fontId="4" fillId="3" borderId="22" xfId="0" applyNumberFormat="1" applyFont="1" applyFill="1" applyBorder="1" applyAlignment="1">
      <alignment horizontal="center"/>
    </xf>
    <xf numFmtId="166" fontId="4" fillId="3" borderId="76" xfId="0" applyNumberFormat="1" applyFont="1" applyFill="1" applyBorder="1" applyAlignment="1">
      <alignment horizontal="center"/>
    </xf>
    <xf numFmtId="2" fontId="4" fillId="3" borderId="74" xfId="0" applyNumberFormat="1" applyFont="1" applyFill="1" applyBorder="1" applyAlignment="1">
      <alignment horizontal="center"/>
    </xf>
    <xf numFmtId="1" fontId="4" fillId="3" borderId="55" xfId="0" applyNumberFormat="1" applyFont="1" applyFill="1" applyBorder="1" applyAlignment="1">
      <alignment horizontal="center"/>
    </xf>
    <xf numFmtId="1" fontId="4" fillId="3" borderId="76" xfId="0" applyNumberFormat="1" applyFont="1" applyFill="1" applyBorder="1" applyAlignment="1">
      <alignment horizontal="center"/>
    </xf>
    <xf numFmtId="166" fontId="4" fillId="3" borderId="24" xfId="0" applyNumberFormat="1" applyFont="1" applyFill="1" applyBorder="1" applyAlignment="1">
      <alignment horizontal="center"/>
    </xf>
    <xf numFmtId="1" fontId="4" fillId="3" borderId="22" xfId="0" applyNumberFormat="1" applyFont="1" applyFill="1" applyBorder="1" applyAlignment="1">
      <alignment horizontal="center"/>
    </xf>
    <xf numFmtId="1" fontId="4" fillId="3" borderId="74" xfId="0" applyNumberFormat="1" applyFont="1" applyFill="1" applyBorder="1" applyAlignment="1">
      <alignment horizontal="center"/>
    </xf>
    <xf numFmtId="2" fontId="4" fillId="3" borderId="22" xfId="0" applyNumberFormat="1" applyFont="1" applyFill="1" applyBorder="1"/>
    <xf numFmtId="0" fontId="7" fillId="3" borderId="2" xfId="0" applyFont="1" applyFill="1" applyBorder="1" applyAlignment="1">
      <alignment wrapText="1"/>
    </xf>
    <xf numFmtId="0" fontId="0" fillId="3" borderId="47" xfId="0" applyFill="1" applyBorder="1"/>
    <xf numFmtId="2" fontId="4" fillId="3" borderId="76" xfId="0" applyNumberFormat="1" applyFont="1" applyFill="1" applyBorder="1" applyAlignment="1">
      <alignment horizontal="center"/>
    </xf>
    <xf numFmtId="11" fontId="0" fillId="3" borderId="0" xfId="0" applyNumberFormat="1" applyFill="1" applyBorder="1"/>
    <xf numFmtId="0" fontId="7" fillId="4" borderId="1" xfId="0" applyFont="1" applyFill="1" applyBorder="1" applyAlignment="1">
      <alignment horizontal="center" wrapText="1"/>
    </xf>
    <xf numFmtId="0" fontId="7" fillId="4" borderId="2" xfId="0" applyFont="1" applyFill="1" applyBorder="1" applyAlignment="1">
      <alignment horizontal="center" wrapText="1"/>
    </xf>
    <xf numFmtId="0" fontId="7" fillId="4" borderId="3" xfId="0" applyFont="1" applyFill="1" applyBorder="1" applyAlignment="1">
      <alignment horizontal="center" wrapText="1"/>
    </xf>
    <xf numFmtId="0" fontId="7" fillId="4" borderId="6" xfId="0" applyFont="1" applyFill="1" applyBorder="1" applyAlignment="1">
      <alignment horizontal="center" wrapText="1"/>
    </xf>
    <xf numFmtId="0" fontId="7" fillId="4" borderId="7" xfId="0" applyFont="1" applyFill="1" applyBorder="1" applyAlignment="1">
      <alignment horizontal="center" wrapText="1"/>
    </xf>
    <xf numFmtId="0" fontId="7" fillId="4" borderId="8" xfId="0" applyFont="1" applyFill="1" applyBorder="1" applyAlignment="1">
      <alignment horizontal="center" wrapText="1"/>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65" fillId="3" borderId="1" xfId="0" applyFont="1" applyFill="1" applyBorder="1" applyAlignment="1">
      <alignment horizontal="center" vertical="center"/>
    </xf>
    <xf numFmtId="0" fontId="65" fillId="3" borderId="2" xfId="0" applyFont="1" applyFill="1" applyBorder="1" applyAlignment="1">
      <alignment horizontal="center" vertical="center"/>
    </xf>
    <xf numFmtId="0" fontId="65" fillId="3" borderId="3" xfId="0" applyFont="1" applyFill="1" applyBorder="1" applyAlignment="1">
      <alignment horizontal="center" vertical="center"/>
    </xf>
    <xf numFmtId="0" fontId="65" fillId="3" borderId="4" xfId="0" applyFont="1" applyFill="1" applyBorder="1" applyAlignment="1">
      <alignment horizontal="center" vertical="center"/>
    </xf>
    <xf numFmtId="0" fontId="65" fillId="3" borderId="0" xfId="0" applyFont="1" applyFill="1" applyBorder="1" applyAlignment="1">
      <alignment horizontal="center" vertical="center"/>
    </xf>
    <xf numFmtId="0" fontId="65" fillId="3" borderId="5" xfId="0" applyFont="1" applyFill="1" applyBorder="1" applyAlignment="1">
      <alignment horizontal="center" vertical="center"/>
    </xf>
    <xf numFmtId="0" fontId="7" fillId="5" borderId="55" xfId="0" applyFont="1" applyFill="1" applyBorder="1" applyAlignment="1">
      <alignment horizontal="center" vertical="center"/>
    </xf>
    <xf numFmtId="0" fontId="7" fillId="5" borderId="22" xfId="0" applyFont="1" applyFill="1" applyBorder="1" applyAlignment="1">
      <alignment horizontal="center" vertical="center"/>
    </xf>
    <xf numFmtId="0" fontId="7" fillId="5" borderId="47"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3" xfId="0" applyFont="1" applyFill="1" applyBorder="1" applyAlignment="1">
      <alignment horizontal="center" vertical="center"/>
    </xf>
    <xf numFmtId="0" fontId="66" fillId="5" borderId="55" xfId="0" applyFont="1" applyFill="1" applyBorder="1" applyAlignment="1">
      <alignment horizontal="center" vertical="center" wrapText="1"/>
    </xf>
    <xf numFmtId="0" fontId="66" fillId="5" borderId="47" xfId="0" applyFont="1" applyFill="1" applyBorder="1" applyAlignment="1">
      <alignment horizontal="center" vertical="center" wrapText="1"/>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5" borderId="11" xfId="0" applyFont="1" applyFill="1" applyBorder="1" applyAlignment="1">
      <alignment horizontal="center"/>
    </xf>
    <xf numFmtId="0" fontId="7" fillId="5" borderId="13" xfId="0" applyFont="1" applyFill="1" applyBorder="1" applyAlignment="1">
      <alignment horizontal="center"/>
    </xf>
    <xf numFmtId="0" fontId="7" fillId="4" borderId="55" xfId="0" applyFont="1" applyFill="1" applyBorder="1" applyAlignment="1">
      <alignment horizontal="center" wrapText="1"/>
    </xf>
    <xf numFmtId="0" fontId="7" fillId="4" borderId="47" xfId="0" applyFont="1" applyFill="1" applyBorder="1" applyAlignment="1">
      <alignment horizontal="center" wrapText="1"/>
    </xf>
    <xf numFmtId="0" fontId="4" fillId="3" borderId="37" xfId="0" applyFont="1" applyFill="1" applyBorder="1" applyAlignment="1">
      <alignment horizontal="left" vertical="center"/>
    </xf>
    <xf numFmtId="0" fontId="4" fillId="3" borderId="27" xfId="0" applyFont="1" applyFill="1" applyBorder="1" applyAlignment="1">
      <alignment horizontal="left" vertic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7" fillId="4" borderId="13" xfId="0" applyFont="1" applyFill="1" applyBorder="1" applyAlignment="1">
      <alignment horizontal="center"/>
    </xf>
    <xf numFmtId="0" fontId="20" fillId="4" borderId="55" xfId="1" applyFont="1" applyFill="1" applyBorder="1" applyAlignment="1">
      <alignment horizontal="center" vertical="center" wrapText="1"/>
    </xf>
    <xf numFmtId="0" fontId="20" fillId="4" borderId="47" xfId="1" applyFont="1" applyFill="1" applyBorder="1" applyAlignment="1">
      <alignment horizontal="center" vertical="center" wrapText="1"/>
    </xf>
    <xf numFmtId="0" fontId="15" fillId="0" borderId="1" xfId="1" applyFont="1" applyBorder="1" applyAlignment="1">
      <alignment horizontal="center" vertical="center" wrapText="1"/>
    </xf>
    <xf numFmtId="0" fontId="15" fillId="0" borderId="32" xfId="1" applyFont="1" applyBorder="1" applyAlignment="1">
      <alignment horizontal="center" vertical="center" wrapText="1"/>
    </xf>
    <xf numFmtId="0" fontId="15" fillId="0" borderId="45" xfId="1" applyFont="1" applyBorder="1" applyAlignment="1">
      <alignment horizontal="center" vertical="center" wrapText="1"/>
    </xf>
    <xf numFmtId="0" fontId="15" fillId="0" borderId="6" xfId="1" applyFont="1" applyBorder="1" applyAlignment="1">
      <alignment horizontal="center" vertical="center" wrapText="1"/>
    </xf>
    <xf numFmtId="0" fontId="4" fillId="3" borderId="20" xfId="0" applyFont="1" applyFill="1" applyBorder="1" applyAlignment="1">
      <alignment horizontal="left" wrapText="1"/>
    </xf>
    <xf numFmtId="0" fontId="4" fillId="3" borderId="10" xfId="0" applyFont="1" applyFill="1" applyBorder="1" applyAlignment="1">
      <alignment horizontal="left" wrapText="1"/>
    </xf>
  </cellXfs>
  <cellStyles count="176">
    <cellStyle name="_Digitized Data" xfId="7"/>
    <cellStyle name="_Sheet1" xfId="8"/>
    <cellStyle name="20% - Accent1 2" xfId="9"/>
    <cellStyle name="20% - Accent1 3" xfId="10"/>
    <cellStyle name="20% - Accent2 2" xfId="11"/>
    <cellStyle name="20% - Accent2 3" xfId="12"/>
    <cellStyle name="20% - Accent3 2" xfId="13"/>
    <cellStyle name="20% - Accent3 3" xfId="14"/>
    <cellStyle name="20% - Accent4 2" xfId="15"/>
    <cellStyle name="20% - Accent4 3" xfId="16"/>
    <cellStyle name="20% - Accent5 2" xfId="17"/>
    <cellStyle name="20% - Accent5 3" xfId="18"/>
    <cellStyle name="20% - Accent6 2" xfId="19"/>
    <cellStyle name="20% - Accent6 3" xfId="20"/>
    <cellStyle name="40% - Accent1 2" xfId="21"/>
    <cellStyle name="40% - Accent1 3" xfId="22"/>
    <cellStyle name="40% - Accent2 2" xfId="23"/>
    <cellStyle name="40% - Accent2 3" xfId="24"/>
    <cellStyle name="40% - Accent3 2" xfId="25"/>
    <cellStyle name="40% - Accent3 3" xfId="26"/>
    <cellStyle name="40% - Accent4 2" xfId="27"/>
    <cellStyle name="40% - Accent4 3" xfId="28"/>
    <cellStyle name="40% - Accent5 2" xfId="29"/>
    <cellStyle name="40% - Accent5 3" xfId="30"/>
    <cellStyle name="40% - Accent6 2" xfId="31"/>
    <cellStyle name="40% - Accent6 3" xfId="32"/>
    <cellStyle name="60% - Accent1 2" xfId="33"/>
    <cellStyle name="60% - Accent1 3" xfId="34"/>
    <cellStyle name="60% - Accent2 2" xfId="35"/>
    <cellStyle name="60% - Accent2 3" xfId="36"/>
    <cellStyle name="60% - Accent3 2" xfId="37"/>
    <cellStyle name="60% - Accent3 3" xfId="38"/>
    <cellStyle name="60% - Accent4 2" xfId="39"/>
    <cellStyle name="60% - Accent4 3" xfId="40"/>
    <cellStyle name="60% - Accent5 2" xfId="41"/>
    <cellStyle name="60% - Accent5 3" xfId="42"/>
    <cellStyle name="60% - Accent6 2" xfId="43"/>
    <cellStyle name="60% - Accent6 3" xfId="44"/>
    <cellStyle name="Accent1 2" xfId="45"/>
    <cellStyle name="Accent1 3" xfId="46"/>
    <cellStyle name="Accent2 2" xfId="47"/>
    <cellStyle name="Accent2 3" xfId="48"/>
    <cellStyle name="Accent3 2" xfId="49"/>
    <cellStyle name="Accent3 3" xfId="50"/>
    <cellStyle name="Accent4 2" xfId="51"/>
    <cellStyle name="Accent4 3" xfId="52"/>
    <cellStyle name="Accent5 2" xfId="53"/>
    <cellStyle name="Accent5 3" xfId="54"/>
    <cellStyle name="Accent6 2" xfId="55"/>
    <cellStyle name="Accent6 3" xfId="56"/>
    <cellStyle name="API" xfId="57"/>
    <cellStyle name="Bad 2" xfId="58"/>
    <cellStyle name="Bad 3" xfId="59"/>
    <cellStyle name="Calc Currency (0)" xfId="60"/>
    <cellStyle name="Calculation 2" xfId="61"/>
    <cellStyle name="Calculation 3" xfId="62"/>
    <cellStyle name="Check Cell 2" xfId="63"/>
    <cellStyle name="Check Cell 3" xfId="64"/>
    <cellStyle name="Column Headings" xfId="65"/>
    <cellStyle name="Comma" xfId="175" builtinId="3"/>
    <cellStyle name="Comma 2" xfId="66"/>
    <cellStyle name="Comma0" xfId="67"/>
    <cellStyle name="Copied" xfId="68"/>
    <cellStyle name="Currency0" xfId="69"/>
    <cellStyle name="Currency0 2" xfId="70"/>
    <cellStyle name="Date" xfId="71"/>
    <cellStyle name="Entered" xfId="72"/>
    <cellStyle name="Epa" xfId="73"/>
    <cellStyle name="Explanatory Text 2" xfId="74"/>
    <cellStyle name="Explanatory Text 3" xfId="75"/>
    <cellStyle name="Fixed" xfId="76"/>
    <cellStyle name="Footnotes" xfId="77"/>
    <cellStyle name="Good 2" xfId="78"/>
    <cellStyle name="Good 3" xfId="79"/>
    <cellStyle name="Grey" xfId="80"/>
    <cellStyle name="Header" xfId="81"/>
    <cellStyle name="Header1" xfId="82"/>
    <cellStyle name="Header2" xfId="83"/>
    <cellStyle name="Heading 1 2" xfId="84"/>
    <cellStyle name="Heading 1 3" xfId="85"/>
    <cellStyle name="Heading 1 4" xfId="86"/>
    <cellStyle name="Heading 2 2" xfId="87"/>
    <cellStyle name="Heading 2 3" xfId="88"/>
    <cellStyle name="Heading 2 4" xfId="89"/>
    <cellStyle name="Heading 3 2" xfId="90"/>
    <cellStyle name="Heading 3 3" xfId="91"/>
    <cellStyle name="Heading 4 2" xfId="92"/>
    <cellStyle name="Heading 4 3" xfId="93"/>
    <cellStyle name="Heading1" xfId="94"/>
    <cellStyle name="Heading2" xfId="95"/>
    <cellStyle name="Input [yellow]" xfId="96"/>
    <cellStyle name="Input 2" xfId="97"/>
    <cellStyle name="Input 3" xfId="98"/>
    <cellStyle name="Linked Cell 2" xfId="99"/>
    <cellStyle name="Linked Cell 3" xfId="100"/>
    <cellStyle name="Neutral 2" xfId="101"/>
    <cellStyle name="Neutral 3" xfId="102"/>
    <cellStyle name="Normal" xfId="0" builtinId="0"/>
    <cellStyle name="Normal - Style1" xfId="103"/>
    <cellStyle name="Normal - Style1 2" xfId="104"/>
    <cellStyle name="Normal - Style2" xfId="105"/>
    <cellStyle name="Normal - Style3" xfId="106"/>
    <cellStyle name="Normal - Style4" xfId="107"/>
    <cellStyle name="Normal - Style5" xfId="108"/>
    <cellStyle name="Normal - Style6" xfId="109"/>
    <cellStyle name="Normal 10" xfId="4"/>
    <cellStyle name="Normal 11" xfId="110"/>
    <cellStyle name="Normal 12" xfId="111"/>
    <cellStyle name="Normal 13" xfId="112"/>
    <cellStyle name="Normal 14" xfId="113"/>
    <cellStyle name="Normal 15" xfId="114"/>
    <cellStyle name="Normal 16" xfId="115"/>
    <cellStyle name="Normal 17" xfId="116"/>
    <cellStyle name="Normal 18" xfId="117"/>
    <cellStyle name="Normal 19" xfId="118"/>
    <cellStyle name="Normal 2" xfId="1"/>
    <cellStyle name="Normal 2 2" xfId="5"/>
    <cellStyle name="Normal 2 3" xfId="119"/>
    <cellStyle name="Normal 20" xfId="120"/>
    <cellStyle name="Normal 21" xfId="121"/>
    <cellStyle name="Normal 22" xfId="6"/>
    <cellStyle name="Normal 23" xfId="122"/>
    <cellStyle name="Normal 24" xfId="123"/>
    <cellStyle name="Normal 25" xfId="124"/>
    <cellStyle name="Normal 26" xfId="125"/>
    <cellStyle name="Normal 27" xfId="126"/>
    <cellStyle name="Normal 28" xfId="127"/>
    <cellStyle name="Normal 29" xfId="128"/>
    <cellStyle name="Normal 3" xfId="129"/>
    <cellStyle name="Normal 3 2" xfId="130"/>
    <cellStyle name="Normal 30" xfId="131"/>
    <cellStyle name="Normal 31" xfId="132"/>
    <cellStyle name="Normal 32" xfId="133"/>
    <cellStyle name="Normal 33" xfId="134"/>
    <cellStyle name="Normal 34" xfId="135"/>
    <cellStyle name="Normal 35" xfId="136"/>
    <cellStyle name="Normal 36" xfId="137"/>
    <cellStyle name="Normal 37" xfId="138"/>
    <cellStyle name="Normal 38" xfId="174"/>
    <cellStyle name="Normal 4" xfId="139"/>
    <cellStyle name="Normal 5" xfId="140"/>
    <cellStyle name="Normal 6" xfId="141"/>
    <cellStyle name="Normal 6 2" xfId="142"/>
    <cellStyle name="Normal 6 2 2" xfId="143"/>
    <cellStyle name="Normal 6 3" xfId="144"/>
    <cellStyle name="Normal 6 3 2" xfId="145"/>
    <cellStyle name="Normal 6 4" xfId="146"/>
    <cellStyle name="Normal 7" xfId="147"/>
    <cellStyle name="Normal 8" xfId="148"/>
    <cellStyle name="Normal 9" xfId="149"/>
    <cellStyle name="Normal_Cheswick03" xfId="3"/>
    <cellStyle name="Normal_Elrama03_Fug_03" xfId="2"/>
    <cellStyle name="Note 2" xfId="150"/>
    <cellStyle name="Note 3" xfId="151"/>
    <cellStyle name="Output 2" xfId="152"/>
    <cellStyle name="Output 3" xfId="153"/>
    <cellStyle name="Percent [2]" xfId="154"/>
    <cellStyle name="Percent 2" xfId="155"/>
    <cellStyle name="Percent 2 2" xfId="156"/>
    <cellStyle name="Percent 3" xfId="157"/>
    <cellStyle name="Percent 4" xfId="158"/>
    <cellStyle name="Plain Text" xfId="159"/>
    <cellStyle name="RevList" xfId="160"/>
    <cellStyle name="Style 1" xfId="161"/>
    <cellStyle name="STYLE1 - Style7" xfId="162"/>
    <cellStyle name="STYLE2 - Style8" xfId="163"/>
    <cellStyle name="Subtotal" xfId="164"/>
    <cellStyle name="Title 2" xfId="165"/>
    <cellStyle name="Title 3" xfId="166"/>
    <cellStyle name="Total 2" xfId="167"/>
    <cellStyle name="Total 3" xfId="168"/>
    <cellStyle name="Total 4" xfId="169"/>
    <cellStyle name="Total Lines" xfId="170"/>
    <cellStyle name="Underlined detail" xfId="171"/>
    <cellStyle name="Warning Text 2" xfId="172"/>
    <cellStyle name="Warning Text 3" xfId="173"/>
  </cellStyles>
  <dxfs count="0"/>
  <tableStyles count="0" defaultTableStyle="TableStyleMedium9" defaultPivotStyle="PivotStyleLight16"/>
  <colors>
    <mruColors>
      <color rgb="FF005596"/>
      <color rgb="FF00A2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8</xdr:row>
      <xdr:rowOff>19050</xdr:rowOff>
    </xdr:from>
    <xdr:ext cx="4739640" cy="442878"/>
    <mc:AlternateContent xmlns:mc="http://schemas.openxmlformats.org/markup-compatibility/2006" xmlns:a14="http://schemas.microsoft.com/office/drawing/2010/main">
      <mc:Choice Requires="a14">
        <xdr:sp macro="" textlink="">
          <xdr:nvSpPr>
            <xdr:cNvPr id="2" name="TextBox 1"/>
            <xdr:cNvSpPr txBox="1"/>
          </xdr:nvSpPr>
          <xdr:spPr>
            <a:xfrm>
              <a:off x="609600" y="1543050"/>
              <a:ext cx="4739640" cy="442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en-US" sz="1100" b="0" i="1">
                        <a:solidFill>
                          <a:sysClr val="windowText" lastClr="000000"/>
                        </a:solidFill>
                        <a:latin typeface="Cambria Math"/>
                      </a:rPr>
                      <m:t>𝐸</m:t>
                    </m:r>
                    <m:r>
                      <a:rPr lang="en-US" sz="1100" b="0" i="1">
                        <a:solidFill>
                          <a:sysClr val="windowText" lastClr="000000"/>
                        </a:solidFill>
                        <a:latin typeface="Cambria Math"/>
                      </a:rPr>
                      <m:t>=</m:t>
                    </m:r>
                    <m:r>
                      <a:rPr lang="en-US" sz="1100" b="0" i="1">
                        <a:solidFill>
                          <a:sysClr val="windowText" lastClr="000000"/>
                        </a:solidFill>
                        <a:latin typeface="Cambria Math"/>
                      </a:rPr>
                      <m:t>𝐶𝑊𝐹</m:t>
                    </m:r>
                    <m:r>
                      <a:rPr lang="en-US" sz="1100" b="0" i="1">
                        <a:solidFill>
                          <a:sysClr val="windowText" lastClr="000000"/>
                        </a:solidFill>
                        <a:latin typeface="Cambria Math"/>
                        <a:ea typeface="Cambria Math"/>
                      </a:rPr>
                      <m:t>×</m:t>
                    </m:r>
                    <m:r>
                      <a:rPr lang="en-US" sz="1100" b="0" i="1">
                        <a:solidFill>
                          <a:sysClr val="windowText" lastClr="000000"/>
                        </a:solidFill>
                        <a:latin typeface="Cambria Math"/>
                        <a:ea typeface="Cambria Math"/>
                      </a:rPr>
                      <m:t>𝐷𝑅</m:t>
                    </m:r>
                    <m:r>
                      <a:rPr lang="en-US" sz="1100" b="0" i="1">
                        <a:solidFill>
                          <a:sysClr val="windowText" lastClr="000000"/>
                        </a:solidFill>
                        <a:latin typeface="Cambria Math"/>
                        <a:ea typeface="Cambria Math"/>
                      </a:rPr>
                      <m:t>×</m:t>
                    </m:r>
                    <m:sSub>
                      <m:sSubPr>
                        <m:ctrlPr>
                          <a:rPr lang="en-US" sz="1100" b="0" i="1">
                            <a:solidFill>
                              <a:sysClr val="windowText" lastClr="000000"/>
                            </a:solidFill>
                            <a:latin typeface="Cambria Math"/>
                            <a:ea typeface="Cambria Math"/>
                          </a:rPr>
                        </m:ctrlPr>
                      </m:sSubPr>
                      <m:e>
                        <m:r>
                          <a:rPr lang="en-US" sz="1100" b="0" i="1">
                            <a:solidFill>
                              <a:sysClr val="windowText" lastClr="000000"/>
                            </a:solidFill>
                            <a:latin typeface="Cambria Math"/>
                            <a:ea typeface="Cambria Math"/>
                          </a:rPr>
                          <m:t>𝜌</m:t>
                        </m:r>
                      </m:e>
                      <m:sub>
                        <m:r>
                          <a:rPr lang="en-US" sz="1100" b="0" i="1">
                            <a:solidFill>
                              <a:sysClr val="windowText" lastClr="000000"/>
                            </a:solidFill>
                            <a:latin typeface="Cambria Math"/>
                            <a:ea typeface="Cambria Math"/>
                          </a:rPr>
                          <m:t>𝐻</m:t>
                        </m:r>
                        <m:r>
                          <a:rPr lang="en-US" sz="1100" b="0" i="1">
                            <a:solidFill>
                              <a:sysClr val="windowText" lastClr="000000"/>
                            </a:solidFill>
                            <a:latin typeface="Cambria Math"/>
                            <a:ea typeface="Cambria Math"/>
                          </a:rPr>
                          <m:t>2</m:t>
                        </m:r>
                        <m:r>
                          <a:rPr lang="en-US" sz="1100" b="0" i="1">
                            <a:solidFill>
                              <a:sysClr val="windowText" lastClr="000000"/>
                            </a:solidFill>
                            <a:latin typeface="Cambria Math"/>
                            <a:ea typeface="Cambria Math"/>
                          </a:rPr>
                          <m:t>𝑂</m:t>
                        </m:r>
                      </m:sub>
                    </m:sSub>
                    <m:r>
                      <a:rPr lang="en-US" sz="1100" b="0" i="1">
                        <a:solidFill>
                          <a:sysClr val="windowText" lastClr="000000"/>
                        </a:solidFill>
                        <a:latin typeface="Cambria Math"/>
                        <a:ea typeface="Cambria Math"/>
                      </a:rPr>
                      <m:t>×</m:t>
                    </m:r>
                    <m:r>
                      <a:rPr lang="en-US" sz="1100" b="0" i="1">
                        <a:solidFill>
                          <a:sysClr val="windowText" lastClr="000000"/>
                        </a:solidFill>
                        <a:latin typeface="Cambria Math"/>
                        <a:ea typeface="Cambria Math"/>
                      </a:rPr>
                      <m:t>𝑇𝐷𝑆</m:t>
                    </m:r>
                    <m:r>
                      <a:rPr lang="en-US" sz="1100" b="0" i="1">
                        <a:solidFill>
                          <a:sysClr val="windowText" lastClr="000000"/>
                        </a:solidFill>
                        <a:latin typeface="Cambria Math"/>
                        <a:ea typeface="Cambria Math"/>
                      </a:rPr>
                      <m:t>×</m:t>
                    </m:r>
                    <m:r>
                      <a:rPr lang="en-US" sz="1100" b="0" i="1">
                        <a:solidFill>
                          <a:sysClr val="windowText" lastClr="000000"/>
                        </a:solidFill>
                        <a:latin typeface="Cambria Math"/>
                        <a:ea typeface="Cambria Math"/>
                      </a:rPr>
                      <m:t>𝐻𝑜𝑢𝑟𝑠</m:t>
                    </m:r>
                    <m:r>
                      <a:rPr lang="en-US" sz="1100" b="0" i="1">
                        <a:solidFill>
                          <a:sysClr val="windowText" lastClr="000000"/>
                        </a:solidFill>
                        <a:latin typeface="Cambria Math"/>
                        <a:ea typeface="Cambria Math"/>
                      </a:rPr>
                      <m:t> </m:t>
                    </m:r>
                    <m:r>
                      <a:rPr lang="en-US" sz="1100" b="0" i="1">
                        <a:solidFill>
                          <a:sysClr val="windowText" lastClr="000000"/>
                        </a:solidFill>
                        <a:latin typeface="Cambria Math"/>
                        <a:ea typeface="Cambria Math"/>
                      </a:rPr>
                      <m:t>𝑜𝑓</m:t>
                    </m:r>
                    <m:r>
                      <a:rPr lang="en-US" sz="1100" b="0" i="1">
                        <a:solidFill>
                          <a:sysClr val="windowText" lastClr="000000"/>
                        </a:solidFill>
                        <a:latin typeface="Cambria Math"/>
                        <a:ea typeface="Cambria Math"/>
                      </a:rPr>
                      <m:t> </m:t>
                    </m:r>
                    <m:r>
                      <a:rPr lang="en-US" sz="1100" b="0" i="1">
                        <a:solidFill>
                          <a:sysClr val="windowText" lastClr="000000"/>
                        </a:solidFill>
                        <a:latin typeface="Cambria Math"/>
                        <a:ea typeface="Cambria Math"/>
                      </a:rPr>
                      <m:t>𝑂𝑝</m:t>
                    </m:r>
                    <m:r>
                      <a:rPr lang="en-US" sz="1100" b="0" i="1">
                        <a:solidFill>
                          <a:sysClr val="windowText" lastClr="000000"/>
                        </a:solidFill>
                        <a:latin typeface="Cambria Math"/>
                        <a:ea typeface="Cambria Math"/>
                      </a:rPr>
                      <m:t>. ×</m:t>
                    </m:r>
                    <m:f>
                      <m:fPr>
                        <m:ctrlPr>
                          <a:rPr lang="en-US" sz="1100" b="0" i="1">
                            <a:solidFill>
                              <a:sysClr val="windowText" lastClr="000000"/>
                            </a:solidFill>
                            <a:latin typeface="Cambria Math"/>
                            <a:ea typeface="Cambria Math"/>
                          </a:rPr>
                        </m:ctrlPr>
                      </m:fPr>
                      <m:num>
                        <m:r>
                          <a:rPr lang="en-US" sz="1100" b="0" i="1">
                            <a:solidFill>
                              <a:sysClr val="windowText" lastClr="000000"/>
                            </a:solidFill>
                            <a:latin typeface="Cambria Math"/>
                            <a:ea typeface="Cambria Math"/>
                          </a:rPr>
                          <m:t>60 </m:t>
                        </m:r>
                        <m:r>
                          <a:rPr lang="en-US" sz="1100" b="0" i="1">
                            <a:solidFill>
                              <a:sysClr val="windowText" lastClr="000000"/>
                            </a:solidFill>
                            <a:latin typeface="Cambria Math"/>
                            <a:ea typeface="Cambria Math"/>
                          </a:rPr>
                          <m:t>𝑚𝑖𝑛</m:t>
                        </m:r>
                      </m:num>
                      <m:den>
                        <m:r>
                          <a:rPr lang="en-US" sz="1100" b="0" i="1">
                            <a:solidFill>
                              <a:sysClr val="windowText" lastClr="000000"/>
                            </a:solidFill>
                            <a:latin typeface="Cambria Math"/>
                            <a:ea typeface="Cambria Math"/>
                          </a:rPr>
                          <m:t>1 </m:t>
                        </m:r>
                        <m:r>
                          <a:rPr lang="en-US" sz="1100" b="0" i="1">
                            <a:solidFill>
                              <a:sysClr val="windowText" lastClr="000000"/>
                            </a:solidFill>
                            <a:latin typeface="Cambria Math"/>
                            <a:ea typeface="Cambria Math"/>
                          </a:rPr>
                          <m:t>h𝑟</m:t>
                        </m:r>
                      </m:den>
                    </m:f>
                    <m:r>
                      <a:rPr lang="en-US" sz="1100" b="0" i="1">
                        <a:solidFill>
                          <a:sysClr val="windowText" lastClr="000000"/>
                        </a:solidFill>
                        <a:latin typeface="Cambria Math"/>
                        <a:ea typeface="Cambria Math"/>
                      </a:rPr>
                      <m:t>×</m:t>
                    </m:r>
                    <m:f>
                      <m:fPr>
                        <m:ctrlPr>
                          <a:rPr lang="en-US" sz="1100" b="0" i="1">
                            <a:solidFill>
                              <a:sysClr val="windowText" lastClr="000000"/>
                            </a:solidFill>
                            <a:latin typeface="Cambria Math"/>
                            <a:ea typeface="Cambria Math"/>
                          </a:rPr>
                        </m:ctrlPr>
                      </m:fPr>
                      <m:num>
                        <m:r>
                          <a:rPr lang="en-US" sz="1100" b="0" i="1">
                            <a:solidFill>
                              <a:sysClr val="windowText" lastClr="000000"/>
                            </a:solidFill>
                            <a:latin typeface="Cambria Math"/>
                            <a:ea typeface="Cambria Math"/>
                          </a:rPr>
                          <m:t>1 </m:t>
                        </m:r>
                        <m:r>
                          <a:rPr lang="en-US" sz="1100" b="0" i="1">
                            <a:solidFill>
                              <a:sysClr val="windowText" lastClr="000000"/>
                            </a:solidFill>
                            <a:latin typeface="Cambria Math"/>
                            <a:ea typeface="Cambria Math"/>
                          </a:rPr>
                          <m:t>𝑡𝑜𝑛</m:t>
                        </m:r>
                      </m:num>
                      <m:den>
                        <m:r>
                          <a:rPr lang="en-US" sz="1100" b="0" i="1">
                            <a:solidFill>
                              <a:sysClr val="windowText" lastClr="000000"/>
                            </a:solidFill>
                            <a:latin typeface="Cambria Math"/>
                            <a:ea typeface="Cambria Math"/>
                          </a:rPr>
                          <m:t>2,000 </m:t>
                        </m:r>
                        <m:r>
                          <a:rPr lang="en-US" sz="1100" b="0" i="1">
                            <a:solidFill>
                              <a:sysClr val="windowText" lastClr="000000"/>
                            </a:solidFill>
                            <a:latin typeface="Cambria Math"/>
                            <a:ea typeface="Cambria Math"/>
                          </a:rPr>
                          <m:t>𝑙𝑏𝑠</m:t>
                        </m:r>
                      </m:den>
                    </m:f>
                  </m:oMath>
                </m:oMathPara>
              </a14:m>
              <a:endParaRPr lang="en-US" sz="1100"/>
            </a:p>
          </xdr:txBody>
        </xdr:sp>
      </mc:Choice>
      <mc:Fallback xmlns="">
        <xdr:sp macro="" textlink="">
          <xdr:nvSpPr>
            <xdr:cNvPr id="2" name="TextBox 1"/>
            <xdr:cNvSpPr txBox="1"/>
          </xdr:nvSpPr>
          <xdr:spPr>
            <a:xfrm>
              <a:off x="609600" y="1543050"/>
              <a:ext cx="4739640" cy="442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b="0" i="0">
                  <a:solidFill>
                    <a:sysClr val="windowText" lastClr="000000"/>
                  </a:solidFill>
                  <a:latin typeface="Cambria Math"/>
                </a:rPr>
                <a:t>𝐸=𝐶𝑊𝐹</a:t>
              </a:r>
              <a:r>
                <a:rPr lang="en-US" sz="1100" b="0" i="0">
                  <a:solidFill>
                    <a:sysClr val="windowText" lastClr="000000"/>
                  </a:solidFill>
                  <a:latin typeface="Cambria Math"/>
                  <a:ea typeface="Cambria Math"/>
                </a:rPr>
                <a:t>×𝐷𝑅×𝜌_𝐻2𝑂×𝑇𝐷𝑆×𝐻𝑜𝑢𝑟𝑠 𝑜𝑓 𝑂𝑝. ×(60 𝑚𝑖𝑛)/(1 ℎ𝑟)×(1 𝑡𝑜𝑛)/(2,000 𝑙𝑏𝑠)</a:t>
              </a:r>
              <a:endParaRPr lang="en-US" sz="1100"/>
            </a:p>
          </xdr:txBody>
        </xdr:sp>
      </mc:Fallback>
    </mc:AlternateContent>
    <xdr:clientData/>
  </xdr:oneCellAnchor>
  <xdr:oneCellAnchor>
    <xdr:from>
      <xdr:col>1</xdr:col>
      <xdr:colOff>0</xdr:colOff>
      <xdr:row>19</xdr:row>
      <xdr:rowOff>87630</xdr:rowOff>
    </xdr:from>
    <xdr:ext cx="1706880" cy="274947"/>
    <mc:AlternateContent xmlns:mc="http://schemas.openxmlformats.org/markup-compatibility/2006" xmlns:a14="http://schemas.microsoft.com/office/drawing/2010/main">
      <mc:Choice Requires="a14">
        <xdr:sp macro="" textlink="">
          <xdr:nvSpPr>
            <xdr:cNvPr id="3" name="TextBox 2"/>
            <xdr:cNvSpPr txBox="1"/>
          </xdr:nvSpPr>
          <xdr:spPr>
            <a:xfrm>
              <a:off x="609600" y="3707130"/>
              <a:ext cx="1706880"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en-US" sz="1100" b="0" i="1">
                        <a:solidFill>
                          <a:sysClr val="windowText" lastClr="000000"/>
                        </a:solidFill>
                        <a:latin typeface="Cambria Math"/>
                      </a:rPr>
                      <m:t>𝐸</m:t>
                    </m:r>
                    <m:r>
                      <a:rPr lang="en-US" sz="1100" b="0" i="1">
                        <a:solidFill>
                          <a:sysClr val="windowText" lastClr="000000"/>
                        </a:solidFill>
                        <a:latin typeface="Cambria Math"/>
                      </a:rPr>
                      <m:t>=</m:t>
                    </m:r>
                    <m:sSub>
                      <m:sSubPr>
                        <m:ctrlPr>
                          <a:rPr lang="en-US" sz="1100" b="0" i="1">
                            <a:solidFill>
                              <a:sysClr val="windowText" lastClr="000000"/>
                            </a:solidFill>
                            <a:latin typeface="Cambria Math"/>
                            <a:ea typeface="Cambria Math"/>
                          </a:rPr>
                        </m:ctrlPr>
                      </m:sSubPr>
                      <m:e>
                        <m:r>
                          <a:rPr lang="en-US" sz="1100" b="0" i="1">
                            <a:solidFill>
                              <a:sysClr val="windowText" lastClr="000000"/>
                            </a:solidFill>
                            <a:latin typeface="Cambria Math"/>
                            <a:ea typeface="Cambria Math"/>
                          </a:rPr>
                          <m:t>𝐸</m:t>
                        </m:r>
                      </m:e>
                      <m:sub>
                        <m:r>
                          <a:rPr lang="en-US" sz="1100" b="0" i="1">
                            <a:solidFill>
                              <a:sysClr val="windowText" lastClr="000000"/>
                            </a:solidFill>
                            <a:latin typeface="Cambria Math"/>
                            <a:ea typeface="Cambria Math"/>
                          </a:rPr>
                          <m:t>𝑃𝑀</m:t>
                        </m:r>
                      </m:sub>
                    </m:sSub>
                    <m:r>
                      <a:rPr lang="en-US" sz="1100" b="0" i="1">
                        <a:solidFill>
                          <a:sysClr val="windowText" lastClr="000000"/>
                        </a:solidFill>
                        <a:latin typeface="Cambria Math"/>
                        <a:ea typeface="Cambria Math"/>
                      </a:rPr>
                      <m:t>×</m:t>
                    </m:r>
                    <m:sSub>
                      <m:sSubPr>
                        <m:ctrlPr>
                          <a:rPr lang="en-US" sz="1100" b="0" i="1">
                            <a:solidFill>
                              <a:sysClr val="windowText" lastClr="000000"/>
                            </a:solidFill>
                            <a:latin typeface="Cambria Math"/>
                            <a:ea typeface="Cambria Math"/>
                          </a:rPr>
                        </m:ctrlPr>
                      </m:sSubPr>
                      <m:e>
                        <m:r>
                          <a:rPr lang="en-US" sz="1100" b="0" i="1">
                            <a:solidFill>
                              <a:sysClr val="windowText" lastClr="000000"/>
                            </a:solidFill>
                            <a:latin typeface="Cambria Math"/>
                            <a:ea typeface="Cambria Math"/>
                          </a:rPr>
                          <m:t>𝐹</m:t>
                        </m:r>
                      </m:e>
                      <m:sub>
                        <m:r>
                          <a:rPr lang="en-US" sz="1100" b="0" i="1">
                            <a:solidFill>
                              <a:sysClr val="windowText" lastClr="000000"/>
                            </a:solidFill>
                            <a:latin typeface="Cambria Math"/>
                            <a:ea typeface="Cambria Math"/>
                          </a:rPr>
                          <m:t>𝑃𝑀</m:t>
                        </m:r>
                        <m:r>
                          <a:rPr lang="en-US" sz="1100" b="0" i="1">
                            <a:solidFill>
                              <a:sysClr val="windowText" lastClr="000000"/>
                            </a:solidFill>
                            <a:latin typeface="Cambria Math"/>
                            <a:ea typeface="Cambria Math"/>
                          </a:rPr>
                          <m:t>10/</m:t>
                        </m:r>
                        <m:r>
                          <a:rPr lang="en-US" sz="1100" b="0" i="1">
                            <a:solidFill>
                              <a:sysClr val="windowText" lastClr="000000"/>
                            </a:solidFill>
                            <a:latin typeface="Cambria Math"/>
                            <a:ea typeface="Cambria Math"/>
                          </a:rPr>
                          <m:t>𝑃𝑀</m:t>
                        </m:r>
                      </m:sub>
                    </m:sSub>
                  </m:oMath>
                </m:oMathPara>
              </a14:m>
              <a:endParaRPr lang="en-US" sz="1100"/>
            </a:p>
          </xdr:txBody>
        </xdr:sp>
      </mc:Choice>
      <mc:Fallback xmlns="">
        <xdr:sp macro="" textlink="">
          <xdr:nvSpPr>
            <xdr:cNvPr id="3" name="TextBox 2"/>
            <xdr:cNvSpPr txBox="1"/>
          </xdr:nvSpPr>
          <xdr:spPr>
            <a:xfrm>
              <a:off x="609600" y="3707130"/>
              <a:ext cx="1706880"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b="0" i="0">
                  <a:solidFill>
                    <a:sysClr val="windowText" lastClr="000000"/>
                  </a:solidFill>
                  <a:latin typeface="Cambria Math"/>
                </a:rPr>
                <a:t>𝐸=</a:t>
              </a:r>
              <a:r>
                <a:rPr lang="en-US" sz="1100" b="0" i="0">
                  <a:solidFill>
                    <a:sysClr val="windowText" lastClr="000000"/>
                  </a:solidFill>
                  <a:latin typeface="Cambria Math"/>
                  <a:ea typeface="Cambria Math"/>
                </a:rPr>
                <a:t>𝐸_𝑃𝑀×𝐹_(𝑃𝑀10/𝑃𝑀)</a:t>
              </a:r>
              <a:endParaRPr lang="en-US" sz="1100"/>
            </a:p>
          </xdr:txBody>
        </xdr:sp>
      </mc:Fallback>
    </mc:AlternateContent>
    <xdr:clientData/>
  </xdr:oneCellAnchor>
  <xdr:oneCellAnchor>
    <xdr:from>
      <xdr:col>1</xdr:col>
      <xdr:colOff>0</xdr:colOff>
      <xdr:row>27</xdr:row>
      <xdr:rowOff>114300</xdr:rowOff>
    </xdr:from>
    <xdr:ext cx="1706880" cy="274947"/>
    <mc:AlternateContent xmlns:mc="http://schemas.openxmlformats.org/markup-compatibility/2006" xmlns:a14="http://schemas.microsoft.com/office/drawing/2010/main">
      <mc:Choice Requires="a14">
        <xdr:sp macro="" textlink="">
          <xdr:nvSpPr>
            <xdr:cNvPr id="4" name="TextBox 3"/>
            <xdr:cNvSpPr txBox="1"/>
          </xdr:nvSpPr>
          <xdr:spPr>
            <a:xfrm>
              <a:off x="609600" y="5257800"/>
              <a:ext cx="1706880"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en-US" sz="1100" b="0" i="1">
                        <a:solidFill>
                          <a:sysClr val="windowText" lastClr="000000"/>
                        </a:solidFill>
                        <a:latin typeface="Cambria Math"/>
                      </a:rPr>
                      <m:t>𝐸</m:t>
                    </m:r>
                    <m:r>
                      <a:rPr lang="en-US" sz="1100" b="0" i="1">
                        <a:solidFill>
                          <a:sysClr val="windowText" lastClr="000000"/>
                        </a:solidFill>
                        <a:latin typeface="Cambria Math"/>
                      </a:rPr>
                      <m:t>=</m:t>
                    </m:r>
                    <m:sSub>
                      <m:sSubPr>
                        <m:ctrlPr>
                          <a:rPr lang="en-US" sz="1100" b="0" i="1">
                            <a:solidFill>
                              <a:sysClr val="windowText" lastClr="000000"/>
                            </a:solidFill>
                            <a:latin typeface="Cambria Math"/>
                            <a:ea typeface="Cambria Math"/>
                          </a:rPr>
                        </m:ctrlPr>
                      </m:sSubPr>
                      <m:e>
                        <m:r>
                          <a:rPr lang="en-US" sz="1100" b="0" i="1">
                            <a:solidFill>
                              <a:sysClr val="windowText" lastClr="000000"/>
                            </a:solidFill>
                            <a:latin typeface="Cambria Math"/>
                            <a:ea typeface="Cambria Math"/>
                          </a:rPr>
                          <m:t>𝐸</m:t>
                        </m:r>
                      </m:e>
                      <m:sub>
                        <m:r>
                          <a:rPr lang="en-US" sz="1100" b="0" i="1">
                            <a:solidFill>
                              <a:sysClr val="windowText" lastClr="000000"/>
                            </a:solidFill>
                            <a:latin typeface="Cambria Math"/>
                            <a:ea typeface="Cambria Math"/>
                          </a:rPr>
                          <m:t>𝑃𝑀</m:t>
                        </m:r>
                        <m:r>
                          <a:rPr lang="en-US" sz="1100" b="0" i="1">
                            <a:solidFill>
                              <a:sysClr val="windowText" lastClr="000000"/>
                            </a:solidFill>
                            <a:latin typeface="Cambria Math"/>
                            <a:ea typeface="Cambria Math"/>
                          </a:rPr>
                          <m:t>10</m:t>
                        </m:r>
                      </m:sub>
                    </m:sSub>
                    <m:r>
                      <a:rPr lang="en-US" sz="1100" b="0" i="1">
                        <a:solidFill>
                          <a:sysClr val="windowText" lastClr="000000"/>
                        </a:solidFill>
                        <a:latin typeface="Cambria Math"/>
                        <a:ea typeface="Cambria Math"/>
                      </a:rPr>
                      <m:t>×</m:t>
                    </m:r>
                    <m:sSub>
                      <m:sSubPr>
                        <m:ctrlPr>
                          <a:rPr lang="en-US" sz="1100" b="0" i="1">
                            <a:solidFill>
                              <a:sysClr val="windowText" lastClr="000000"/>
                            </a:solidFill>
                            <a:latin typeface="Cambria Math"/>
                            <a:ea typeface="Cambria Math"/>
                          </a:rPr>
                        </m:ctrlPr>
                      </m:sSubPr>
                      <m:e>
                        <m:r>
                          <a:rPr lang="en-US" sz="1100" b="0" i="1">
                            <a:solidFill>
                              <a:sysClr val="windowText" lastClr="000000"/>
                            </a:solidFill>
                            <a:latin typeface="Cambria Math"/>
                            <a:ea typeface="Cambria Math"/>
                          </a:rPr>
                          <m:t>𝐹</m:t>
                        </m:r>
                      </m:e>
                      <m:sub>
                        <m:r>
                          <a:rPr lang="en-US" sz="1100" b="0" i="1">
                            <a:solidFill>
                              <a:sysClr val="windowText" lastClr="000000"/>
                            </a:solidFill>
                            <a:latin typeface="Cambria Math"/>
                            <a:ea typeface="Cambria Math"/>
                          </a:rPr>
                          <m:t>𝑃𝑀</m:t>
                        </m:r>
                        <m:r>
                          <a:rPr lang="en-US" sz="1100" b="0" i="1">
                            <a:solidFill>
                              <a:sysClr val="windowText" lastClr="000000"/>
                            </a:solidFill>
                            <a:latin typeface="Cambria Math"/>
                            <a:ea typeface="Cambria Math"/>
                          </a:rPr>
                          <m:t>2.5/</m:t>
                        </m:r>
                        <m:r>
                          <a:rPr lang="en-US" sz="1100" b="0" i="1">
                            <a:solidFill>
                              <a:sysClr val="windowText" lastClr="000000"/>
                            </a:solidFill>
                            <a:latin typeface="Cambria Math"/>
                            <a:ea typeface="Cambria Math"/>
                          </a:rPr>
                          <m:t>𝑃𝑀</m:t>
                        </m:r>
                        <m:r>
                          <a:rPr lang="en-US" sz="1100" b="0" i="1">
                            <a:solidFill>
                              <a:sysClr val="windowText" lastClr="000000"/>
                            </a:solidFill>
                            <a:latin typeface="Cambria Math"/>
                            <a:ea typeface="Cambria Math"/>
                          </a:rPr>
                          <m:t>10</m:t>
                        </m:r>
                      </m:sub>
                    </m:sSub>
                  </m:oMath>
                </m:oMathPara>
              </a14:m>
              <a:endParaRPr lang="en-US" sz="1100"/>
            </a:p>
          </xdr:txBody>
        </xdr:sp>
      </mc:Choice>
      <mc:Fallback xmlns="">
        <xdr:sp macro="" textlink="">
          <xdr:nvSpPr>
            <xdr:cNvPr id="4" name="TextBox 3"/>
            <xdr:cNvSpPr txBox="1"/>
          </xdr:nvSpPr>
          <xdr:spPr>
            <a:xfrm>
              <a:off x="609600" y="5257800"/>
              <a:ext cx="1706880"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b="0" i="0">
                  <a:solidFill>
                    <a:sysClr val="windowText" lastClr="000000"/>
                  </a:solidFill>
                  <a:latin typeface="Cambria Math"/>
                </a:rPr>
                <a:t>𝐸=</a:t>
              </a:r>
              <a:r>
                <a:rPr lang="en-US" sz="1100" b="0" i="0">
                  <a:solidFill>
                    <a:sysClr val="windowText" lastClr="000000"/>
                  </a:solidFill>
                  <a:latin typeface="Cambria Math"/>
                  <a:ea typeface="Cambria Math"/>
                </a:rPr>
                <a:t>𝐸_𝑃𝑀10×𝐹_(𝑃𝑀2.5/𝑃𝑀10)</a:t>
              </a:r>
              <a:endParaRPr lang="en-US"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212655\users\Users\kne68741\AppData\Local\Microsoft\Windows\Temporary%20Internet%20Files\Content.Outlook\MVUUF8NP\GRDA\Draft%20Permit\20140310\Appendix%20C%20-%20Emission%20Calculations_Re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212655\users\kne68741\Documents\My%20Personal%20Files\St.%20Petersburg,%20FL%20SWWRF%20Permitting\Emissions%20Calcs\GRDA%20CFC%20Gen%20Upgrade%202012%20-%20Emissions%20Calcul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Parameters"/>
      <sheetName val="PSD Det"/>
      <sheetName val="BAE"/>
      <sheetName val="Baseline U1"/>
      <sheetName val="Unit 1 Coal"/>
      <sheetName val="Unit 1 NG"/>
      <sheetName val="Baseline U2"/>
      <sheetName val="Unit 2 Coal"/>
      <sheetName val="Unit 2 NG"/>
      <sheetName val="CCCT (New)"/>
      <sheetName val="DC (New)"/>
      <sheetName val="Roads-Paved (New)"/>
      <sheetName val="Cooling Tower (New)"/>
      <sheetName val="Chiller (New)"/>
      <sheetName val="Diesel Generator (New)"/>
      <sheetName val="Gas Heater U1 (New)"/>
      <sheetName val="Gas Heater U3 (New)"/>
      <sheetName val="Aux Boiler (New)"/>
      <sheetName val="U1 (Converted)"/>
      <sheetName val="CCCT (HAP)"/>
      <sheetName val="Diesel Generator (HAP)"/>
      <sheetName val="Gas Heater U1 (HAP)"/>
      <sheetName val="Gas Heater U3 (HAP)"/>
      <sheetName val="Aux Boiler (New) (HAP)"/>
      <sheetName val="U1 (Converted) (HAP)"/>
      <sheetName val="Misc"/>
    </sheetNames>
    <sheetDataSet>
      <sheetData sheetId="0">
        <row r="18">
          <cell r="G18">
            <v>1</v>
          </cell>
        </row>
        <row r="19">
          <cell r="G19">
            <v>21</v>
          </cell>
        </row>
        <row r="20">
          <cell r="G20">
            <v>310</v>
          </cell>
        </row>
        <row r="21">
          <cell r="G21">
            <v>23900</v>
          </cell>
        </row>
        <row r="23">
          <cell r="G23">
            <v>1.0079750000000001</v>
          </cell>
        </row>
        <row r="24">
          <cell r="G24">
            <v>15.9994</v>
          </cell>
        </row>
        <row r="25">
          <cell r="G25">
            <v>32.067499999999995</v>
          </cell>
        </row>
        <row r="26">
          <cell r="G26">
            <v>18.998403199999998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Parameters"/>
      <sheetName val="PSD Det (417 MW)"/>
      <sheetName val="PSD Det (495 MW)"/>
      <sheetName val="BAE"/>
      <sheetName val="Baseline U1"/>
      <sheetName val="Unit 1 Coal"/>
      <sheetName val="Unit 1 NG"/>
      <sheetName val="Baseline U2"/>
      <sheetName val="Unit 2 Coal"/>
      <sheetName val="Unit 2 NG"/>
      <sheetName val="Aux 1"/>
      <sheetName val="Aux 2"/>
      <sheetName val="CCCT (Summary) (New)"/>
      <sheetName val="CCCT (MHI 417) (New)"/>
      <sheetName val="CCCT (Siemens 417) (New)"/>
      <sheetName val="CCCT (Siemens 419) (New)"/>
      <sheetName val="CCCT (GE 417) (New)"/>
      <sheetName val="CCCT (MHI 495) (New)"/>
      <sheetName val="CCCT (Siemens 495) (New)"/>
      <sheetName val="DC (New)"/>
      <sheetName val="Roads-Paved (New)"/>
      <sheetName val="Cooling Tower (New)"/>
      <sheetName val="Diesel Generator (New)"/>
      <sheetName val="Gas Heater U1 (New)"/>
      <sheetName val="Gas Heater U3 (New)"/>
      <sheetName val="Aux Boiler (New)"/>
      <sheetName val="U1 (Converted)"/>
      <sheetName val="Aux Boiler (Converted)"/>
      <sheetName val="CCCT 417 MW (HAP)"/>
      <sheetName val="Shutdown (FEL-BAE)"/>
      <sheetName val="CCCT 495 MW (HAP)"/>
      <sheetName val="Diesel Generator (HAP)"/>
      <sheetName val="Gas Heater U1 (HAP)"/>
      <sheetName val="Gas Heater U3 (HAP)"/>
      <sheetName val="Aux Boiler (New) (HAP)"/>
      <sheetName val="U1 (Converted) (HAP)"/>
      <sheetName val="Aux Boiler (HAP)"/>
      <sheetName val="PSD Det (2016)"/>
      <sheetName val="PSD Det (2017)"/>
      <sheetName val="U1 (Interim)"/>
      <sheetName val="CCCT (Interim)"/>
    </sheetNames>
    <sheetDataSet>
      <sheetData sheetId="0">
        <row r="18">
          <cell r="G18">
            <v>1</v>
          </cell>
        </row>
        <row r="19">
          <cell r="G19">
            <v>21</v>
          </cell>
        </row>
        <row r="20">
          <cell r="G20">
            <v>310</v>
          </cell>
        </row>
        <row r="22">
          <cell r="G22">
            <v>1.0079750000000001</v>
          </cell>
        </row>
        <row r="23">
          <cell r="G23">
            <v>15.9994</v>
          </cell>
        </row>
        <row r="24">
          <cell r="G24">
            <v>32.067499999999995</v>
          </cell>
        </row>
        <row r="25">
          <cell r="G25">
            <v>18.998403199999998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05"/>
  <sheetViews>
    <sheetView tabSelected="1" view="pageBreakPreview" topLeftCell="A4" zoomScaleNormal="100" zoomScaleSheetLayoutView="100" workbookViewId="0">
      <selection activeCell="E38" sqref="E38"/>
    </sheetView>
  </sheetViews>
  <sheetFormatPr defaultRowHeight="15"/>
  <cols>
    <col min="1" max="1" width="1.7109375" style="372" customWidth="1"/>
    <col min="2" max="2" width="9.140625" customWidth="1"/>
    <col min="3" max="3" width="3" style="372" customWidth="1"/>
    <col min="4" max="4" width="22.7109375" customWidth="1"/>
    <col min="5" max="5" width="17.7109375" bestFit="1" customWidth="1"/>
    <col min="6" max="6" width="14.5703125" customWidth="1"/>
    <col min="7" max="7" width="13" customWidth="1"/>
    <col min="8" max="8" width="3" customWidth="1"/>
    <col min="9" max="9" width="3" style="372" customWidth="1"/>
    <col min="10" max="10" width="3.140625" style="372" customWidth="1"/>
    <col min="11" max="11" width="16.140625" customWidth="1"/>
    <col min="12" max="12" width="10.28515625" customWidth="1"/>
    <col min="13" max="13" width="11.140625" customWidth="1"/>
    <col min="14" max="14" width="13.28515625" customWidth="1"/>
    <col min="15" max="15" width="10.5703125" customWidth="1"/>
    <col min="17" max="17" width="12.5703125" customWidth="1"/>
    <col min="19" max="19" width="12.28515625" customWidth="1"/>
    <col min="20" max="20" width="3" style="372" customWidth="1"/>
    <col min="22" max="22" width="1.7109375" customWidth="1"/>
  </cols>
  <sheetData>
    <row r="1" spans="1:22" s="372" customFormat="1" ht="18.75">
      <c r="A1" s="227"/>
      <c r="B1" s="226" t="s">
        <v>196</v>
      </c>
      <c r="C1" s="226"/>
      <c r="D1" s="227"/>
      <c r="E1" s="227"/>
      <c r="F1" s="227"/>
      <c r="G1" s="227"/>
      <c r="H1" s="227"/>
      <c r="I1" s="227"/>
      <c r="J1" s="227"/>
      <c r="K1" s="227"/>
      <c r="L1" s="227"/>
      <c r="M1" s="227"/>
      <c r="N1" s="227"/>
      <c r="O1" s="227"/>
      <c r="P1" s="227"/>
      <c r="Q1" s="227"/>
      <c r="R1" s="227"/>
      <c r="S1" s="227"/>
      <c r="T1" s="227"/>
      <c r="U1" s="227"/>
      <c r="V1" s="227"/>
    </row>
    <row r="2" spans="1:22" s="372" customFormat="1">
      <c r="A2" s="227"/>
      <c r="B2" s="90" t="s">
        <v>457</v>
      </c>
      <c r="C2" s="228"/>
      <c r="D2" s="227"/>
      <c r="E2" s="227"/>
      <c r="F2" s="227"/>
      <c r="G2" s="227"/>
      <c r="H2" s="227"/>
      <c r="I2" s="227"/>
      <c r="J2" s="227"/>
      <c r="K2" s="227"/>
      <c r="L2" s="227"/>
      <c r="M2" s="227"/>
      <c r="N2" s="227"/>
      <c r="O2" s="227"/>
      <c r="P2" s="227"/>
      <c r="Q2" s="227"/>
      <c r="R2" s="227"/>
      <c r="S2" s="227"/>
      <c r="T2" s="227"/>
      <c r="U2" s="227"/>
      <c r="V2" s="227"/>
    </row>
    <row r="3" spans="1:22" s="372" customFormat="1">
      <c r="A3" s="227"/>
      <c r="B3" s="408"/>
      <c r="C3" s="408"/>
      <c r="D3" s="408"/>
      <c r="E3" s="408"/>
      <c r="F3" s="408"/>
      <c r="G3" s="408"/>
      <c r="H3" s="408"/>
      <c r="I3" s="408"/>
      <c r="J3" s="408"/>
      <c r="K3" s="408"/>
      <c r="L3" s="408"/>
      <c r="M3" s="408"/>
      <c r="N3" s="408"/>
      <c r="O3" s="408"/>
      <c r="P3" s="408"/>
      <c r="Q3" s="408"/>
      <c r="R3" s="408"/>
      <c r="S3" s="408"/>
      <c r="T3" s="408"/>
      <c r="U3" s="408"/>
      <c r="V3" s="227"/>
    </row>
    <row r="4" spans="1:22" s="372" customFormat="1">
      <c r="B4" s="490" t="s">
        <v>317</v>
      </c>
      <c r="C4" s="420"/>
      <c r="D4" s="420"/>
      <c r="E4" s="420"/>
      <c r="F4" s="420"/>
      <c r="G4" s="420"/>
      <c r="H4" s="420"/>
      <c r="I4" s="420"/>
      <c r="J4" s="420"/>
      <c r="K4" s="420"/>
      <c r="L4" s="420"/>
      <c r="M4" s="420"/>
      <c r="N4" s="420"/>
      <c r="O4" s="420"/>
      <c r="P4" s="420"/>
      <c r="Q4" s="420"/>
      <c r="R4" s="420"/>
      <c r="S4" s="420"/>
      <c r="T4" s="420"/>
      <c r="U4" s="420"/>
      <c r="V4" s="227"/>
    </row>
    <row r="5" spans="1:22">
      <c r="B5" s="227"/>
      <c r="C5" s="227"/>
      <c r="D5" s="227"/>
      <c r="E5" s="227"/>
      <c r="F5" s="227"/>
      <c r="G5" s="227"/>
      <c r="H5" s="227"/>
      <c r="I5" s="227"/>
      <c r="J5" s="227"/>
      <c r="K5" s="227"/>
      <c r="L5" s="227"/>
      <c r="M5" s="227"/>
      <c r="N5" s="227"/>
      <c r="O5" s="227"/>
      <c r="P5" s="227"/>
      <c r="Q5" s="227"/>
      <c r="R5" s="227"/>
      <c r="S5" s="227"/>
      <c r="T5" s="227"/>
      <c r="U5" s="227"/>
      <c r="V5" s="227"/>
    </row>
    <row r="6" spans="1:22" ht="15.75" thickBot="1">
      <c r="A6" s="227"/>
      <c r="B6" s="227"/>
      <c r="C6" s="227"/>
      <c r="D6" s="227"/>
      <c r="E6" s="227"/>
      <c r="F6" s="227"/>
      <c r="G6" s="227"/>
      <c r="H6" s="227"/>
      <c r="I6" s="227"/>
      <c r="J6" s="227"/>
      <c r="K6" s="227"/>
      <c r="L6" s="227"/>
      <c r="M6" s="227"/>
      <c r="N6" s="227"/>
      <c r="O6" s="227"/>
      <c r="P6" s="227"/>
      <c r="Q6" s="227"/>
      <c r="R6" s="227"/>
      <c r="S6" s="227"/>
      <c r="T6" s="227"/>
      <c r="U6" s="227"/>
      <c r="V6" s="227"/>
    </row>
    <row r="7" spans="1:22">
      <c r="A7" s="227"/>
      <c r="B7" s="227"/>
      <c r="C7" s="675" t="s">
        <v>448</v>
      </c>
      <c r="D7" s="676"/>
      <c r="E7" s="676"/>
      <c r="F7" s="676"/>
      <c r="G7" s="676"/>
      <c r="H7" s="677"/>
      <c r="I7" s="227"/>
      <c r="J7" s="681" t="s">
        <v>318</v>
      </c>
      <c r="K7" s="682"/>
      <c r="L7" s="682"/>
      <c r="M7" s="682"/>
      <c r="N7" s="682"/>
      <c r="O7" s="682"/>
      <c r="P7" s="682"/>
      <c r="Q7" s="682"/>
      <c r="R7" s="682"/>
      <c r="S7" s="682"/>
      <c r="T7" s="683"/>
      <c r="U7" s="227"/>
      <c r="V7" s="227"/>
    </row>
    <row r="8" spans="1:22" s="372" customFormat="1" ht="15.75" thickBot="1">
      <c r="A8" s="227"/>
      <c r="B8" s="227"/>
      <c r="C8" s="678"/>
      <c r="D8" s="679"/>
      <c r="E8" s="679"/>
      <c r="F8" s="679"/>
      <c r="G8" s="679"/>
      <c r="H8" s="680"/>
      <c r="I8" s="227"/>
      <c r="J8" s="684"/>
      <c r="K8" s="685"/>
      <c r="L8" s="685"/>
      <c r="M8" s="685"/>
      <c r="N8" s="685"/>
      <c r="O8" s="685"/>
      <c r="P8" s="685"/>
      <c r="Q8" s="685"/>
      <c r="R8" s="685"/>
      <c r="S8" s="685"/>
      <c r="T8" s="686"/>
      <c r="U8" s="227"/>
      <c r="V8" s="227"/>
    </row>
    <row r="9" spans="1:22" s="372" customFormat="1" ht="15.75" thickBot="1">
      <c r="A9" s="227"/>
      <c r="B9" s="227"/>
      <c r="C9" s="411"/>
      <c r="D9" s="412"/>
      <c r="E9" s="412"/>
      <c r="F9" s="412"/>
      <c r="G9" s="412"/>
      <c r="H9" s="413"/>
      <c r="I9" s="227"/>
      <c r="J9" s="411"/>
      <c r="K9" s="412"/>
      <c r="L9" s="412"/>
      <c r="M9" s="412"/>
      <c r="N9" s="412"/>
      <c r="O9" s="412"/>
      <c r="P9" s="412"/>
      <c r="Q9" s="412"/>
      <c r="R9" s="412"/>
      <c r="S9" s="412"/>
      <c r="T9" s="413"/>
      <c r="U9" s="227"/>
      <c r="V9" s="227"/>
    </row>
    <row r="10" spans="1:22" ht="35.25" customHeight="1" thickBot="1">
      <c r="A10" s="227"/>
      <c r="B10" s="227"/>
      <c r="C10" s="244"/>
      <c r="D10" s="670" t="s">
        <v>449</v>
      </c>
      <c r="E10" s="672"/>
      <c r="F10" s="672"/>
      <c r="G10" s="671"/>
      <c r="H10" s="417"/>
      <c r="I10" s="227"/>
      <c r="J10" s="483"/>
      <c r="K10" s="700" t="s">
        <v>304</v>
      </c>
      <c r="L10" s="701"/>
      <c r="M10" s="701"/>
      <c r="N10" s="701"/>
      <c r="O10" s="702"/>
      <c r="P10" s="245"/>
      <c r="Q10" s="670" t="s">
        <v>305</v>
      </c>
      <c r="R10" s="672"/>
      <c r="S10" s="671"/>
      <c r="T10" s="488"/>
      <c r="U10" s="227"/>
      <c r="V10" s="227"/>
    </row>
    <row r="11" spans="1:22" ht="66.75" customHeight="1" thickBot="1">
      <c r="A11" s="227"/>
      <c r="B11" s="227"/>
      <c r="C11" s="244"/>
      <c r="D11" s="478"/>
      <c r="E11" s="479" t="s">
        <v>444</v>
      </c>
      <c r="F11" s="480" t="s">
        <v>298</v>
      </c>
      <c r="G11" s="480" t="s">
        <v>297</v>
      </c>
      <c r="H11" s="417"/>
      <c r="I11" s="227"/>
      <c r="J11" s="244"/>
      <c r="K11" s="476" t="s">
        <v>301</v>
      </c>
      <c r="L11" s="476" t="s">
        <v>299</v>
      </c>
      <c r="M11" s="476" t="s">
        <v>302</v>
      </c>
      <c r="N11" s="476" t="s">
        <v>300</v>
      </c>
      <c r="O11" s="477" t="s">
        <v>319</v>
      </c>
      <c r="P11" s="227"/>
      <c r="Q11" s="476" t="s">
        <v>303</v>
      </c>
      <c r="R11" s="476" t="s">
        <v>300</v>
      </c>
      <c r="S11" s="477" t="s">
        <v>319</v>
      </c>
      <c r="T11" s="489"/>
      <c r="U11" s="227"/>
      <c r="V11" s="227"/>
    </row>
    <row r="12" spans="1:22" ht="15.75" thickBot="1">
      <c r="A12" s="227"/>
      <c r="B12" s="227"/>
      <c r="C12" s="244"/>
      <c r="D12" s="18" t="s">
        <v>291</v>
      </c>
      <c r="E12" s="444">
        <f>'Gas Engines'!D$33+Flares!D$70+Flares!E$70+Flares!F$70+Flares!G$70+Boilers!F$30+'1750 kW Diesel Generator'!F$26</f>
        <v>38.581962232908097</v>
      </c>
      <c r="F12" s="459">
        <v>250</v>
      </c>
      <c r="G12" s="460" t="str">
        <f t="shared" ref="G12:G21" si="0">IF(E12&gt;=F12,"Yes","No")</f>
        <v>No</v>
      </c>
      <c r="H12" s="417"/>
      <c r="I12" s="227"/>
      <c r="J12" s="244"/>
      <c r="K12" s="473">
        <v>150</v>
      </c>
      <c r="L12" s="474">
        <f>Boilers!E14</f>
        <v>54.827294117647057</v>
      </c>
      <c r="M12" s="473">
        <v>375</v>
      </c>
      <c r="N12" s="474">
        <f>Boilers!E16</f>
        <v>109.65458823529411</v>
      </c>
      <c r="O12" s="475" t="str">
        <f>IF(AND(L12&lt;K12,N12&lt;M12),"Yes","No")</f>
        <v>Yes</v>
      </c>
      <c r="P12" s="245"/>
      <c r="Q12" s="474">
        <v>64000</v>
      </c>
      <c r="R12" s="474">
        <f>('1750 kW Diesel Generator'!E12*'1750 kW Diesel Generator'!E13)+('2000 kW HAP Emissions'!E12*'2000 kW HAP Emissions'!E13)</f>
        <v>26400</v>
      </c>
      <c r="S12" s="475" t="str">
        <f>IF(R12&lt;Q12,"Yes","No")</f>
        <v>Yes</v>
      </c>
      <c r="T12" s="491"/>
      <c r="U12" s="227"/>
      <c r="V12" s="227"/>
    </row>
    <row r="13" spans="1:22" ht="15.75" thickBot="1">
      <c r="A13" s="227"/>
      <c r="B13" s="227"/>
      <c r="C13" s="244"/>
      <c r="D13" s="19" t="s">
        <v>6</v>
      </c>
      <c r="E13" s="444">
        <f>'Gas Engines'!D$40+Flares!D$71+Flares!E$71+Flares!F$71+Flares!G$71+Boilers!F$29+'1750 kW Diesel Generator'!F$25</f>
        <v>55.015524820551796</v>
      </c>
      <c r="F13" s="457">
        <v>250</v>
      </c>
      <c r="G13" s="458" t="str">
        <f t="shared" si="0"/>
        <v>No</v>
      </c>
      <c r="H13" s="417"/>
      <c r="I13" s="227"/>
      <c r="J13" s="244"/>
      <c r="K13" s="562"/>
      <c r="L13" s="563"/>
      <c r="M13" s="562"/>
      <c r="N13" s="563"/>
      <c r="O13" s="564"/>
      <c r="P13" s="245"/>
      <c r="Q13" s="245"/>
      <c r="R13" s="245"/>
      <c r="S13" s="245"/>
      <c r="T13" s="417"/>
      <c r="U13" s="227"/>
      <c r="V13" s="227"/>
    </row>
    <row r="14" spans="1:22">
      <c r="A14" s="227"/>
      <c r="B14" s="227"/>
      <c r="C14" s="244"/>
      <c r="D14" s="19" t="s">
        <v>12</v>
      </c>
      <c r="E14" s="445">
        <f>'Gas Engines'!D$34+Flares!D$72+Flares!E$72+Flares!F$72+Flares!G$72+Boilers!F$35+'1750 kW Diesel Generator'!F$31</f>
        <v>16.107399970368757</v>
      </c>
      <c r="F14" s="457">
        <v>250</v>
      </c>
      <c r="G14" s="458" t="str">
        <f t="shared" si="0"/>
        <v>No</v>
      </c>
      <c r="H14" s="417"/>
      <c r="I14" s="227"/>
      <c r="J14" s="244"/>
      <c r="K14" s="664" t="s">
        <v>518</v>
      </c>
      <c r="L14" s="665"/>
      <c r="M14" s="665"/>
      <c r="N14" s="665"/>
      <c r="O14" s="665"/>
      <c r="P14" s="666"/>
      <c r="Q14" s="245"/>
      <c r="R14" s="245"/>
      <c r="S14" s="245"/>
      <c r="T14" s="417"/>
      <c r="U14" s="227"/>
      <c r="V14" s="227"/>
    </row>
    <row r="15" spans="1:22" ht="16.5" customHeight="1" thickBot="1">
      <c r="A15" s="227"/>
      <c r="B15" s="227"/>
      <c r="C15" s="244"/>
      <c r="D15" s="19" t="s">
        <v>21</v>
      </c>
      <c r="E15" s="446">
        <f>'Gas Engines'!D$38+Flares!D$73+Flares!E$73+Flares!F$73+Flares!G$73+Boilers!F$34+'1750 kW Diesel Generator'!F$30</f>
        <v>40.027914812628673</v>
      </c>
      <c r="F15" s="457">
        <v>250</v>
      </c>
      <c r="G15" s="458" t="str">
        <f t="shared" si="0"/>
        <v>No</v>
      </c>
      <c r="H15" s="417"/>
      <c r="I15" s="227"/>
      <c r="J15" s="244"/>
      <c r="K15" s="667"/>
      <c r="L15" s="668"/>
      <c r="M15" s="668"/>
      <c r="N15" s="668"/>
      <c r="O15" s="668"/>
      <c r="P15" s="669"/>
      <c r="Q15" s="245"/>
      <c r="R15" s="245"/>
      <c r="S15" s="245"/>
      <c r="T15" s="417"/>
      <c r="U15" s="227"/>
      <c r="V15" s="227"/>
    </row>
    <row r="16" spans="1:22" ht="16.5" customHeight="1" thickBot="1">
      <c r="A16" s="227"/>
      <c r="B16" s="227"/>
      <c r="C16" s="244"/>
      <c r="D16" s="19" t="s">
        <v>349</v>
      </c>
      <c r="E16" s="662">
        <f>'Gas Engines'!D$37+Flares!D$49+Boilers!F$31+'1750 kW Diesel Generator'!F$27+'Cooling Tower '!E40</f>
        <v>1.4246287112203289</v>
      </c>
      <c r="F16" s="492">
        <v>250</v>
      </c>
      <c r="G16" s="493" t="str">
        <f t="shared" si="0"/>
        <v>No</v>
      </c>
      <c r="H16" s="417"/>
      <c r="I16" s="227"/>
      <c r="J16" s="244"/>
      <c r="K16" s="693" t="s">
        <v>306</v>
      </c>
      <c r="L16" s="693" t="s">
        <v>52</v>
      </c>
      <c r="M16" s="703" t="s">
        <v>307</v>
      </c>
      <c r="N16" s="704"/>
      <c r="O16" s="696" t="s">
        <v>314</v>
      </c>
      <c r="P16" s="697"/>
      <c r="Q16" s="245"/>
      <c r="R16" s="245"/>
      <c r="S16" s="245"/>
      <c r="T16" s="417"/>
      <c r="U16" s="227"/>
      <c r="V16" s="227"/>
    </row>
    <row r="17" spans="1:22" ht="15.75" customHeight="1" thickBot="1">
      <c r="A17" s="227"/>
      <c r="B17" s="227"/>
      <c r="C17" s="244"/>
      <c r="D17" s="19" t="s">
        <v>344</v>
      </c>
      <c r="E17" s="447">
        <f>'Gas Engines'!D$35+Flares!D$75+Boilers!F$32+'1750 kW Diesel Generator'!F$28+'Cooling Tower '!F40</f>
        <v>2.5706658650909171</v>
      </c>
      <c r="F17" s="457">
        <v>250</v>
      </c>
      <c r="G17" s="458" t="str">
        <f t="shared" si="0"/>
        <v>No</v>
      </c>
      <c r="H17" s="417"/>
      <c r="I17" s="227"/>
      <c r="J17" s="244"/>
      <c r="K17" s="694"/>
      <c r="L17" s="695"/>
      <c r="M17" s="484" t="s">
        <v>309</v>
      </c>
      <c r="N17" s="484" t="s">
        <v>285</v>
      </c>
      <c r="O17" s="486"/>
      <c r="P17" s="698" t="s">
        <v>315</v>
      </c>
      <c r="Q17" s="245"/>
      <c r="R17" s="245"/>
      <c r="S17" s="245"/>
      <c r="T17" s="417"/>
      <c r="U17" s="227"/>
      <c r="V17" s="227"/>
    </row>
    <row r="18" spans="1:22" s="372" customFormat="1" ht="15.75" thickBot="1">
      <c r="A18" s="227"/>
      <c r="B18" s="227"/>
      <c r="C18" s="244"/>
      <c r="D18" s="18" t="s">
        <v>345</v>
      </c>
      <c r="E18" s="447">
        <f>'Gas Engines'!D$36+Flares!D$76+Boilers!F$33+'1750 kW Diesel Generator'!F$29+'Cooling Tower '!G40</f>
        <v>2.5280700728747183</v>
      </c>
      <c r="F18" s="457">
        <v>250</v>
      </c>
      <c r="G18" s="458" t="str">
        <f t="shared" si="0"/>
        <v>No</v>
      </c>
      <c r="H18" s="417"/>
      <c r="I18" s="227"/>
      <c r="J18" s="244"/>
      <c r="K18" s="695"/>
      <c r="L18" s="484" t="s">
        <v>308</v>
      </c>
      <c r="M18" s="484" t="s">
        <v>310</v>
      </c>
      <c r="N18" s="484" t="s">
        <v>311</v>
      </c>
      <c r="O18" s="485" t="s">
        <v>312</v>
      </c>
      <c r="P18" s="699"/>
      <c r="Q18" s="245"/>
      <c r="R18" s="245"/>
      <c r="S18" s="245"/>
      <c r="T18" s="417"/>
      <c r="U18" s="227"/>
      <c r="V18" s="227"/>
    </row>
    <row r="19" spans="1:22" s="372" customFormat="1">
      <c r="A19" s="227"/>
      <c r="B19" s="227"/>
      <c r="C19" s="244"/>
      <c r="D19" s="404" t="s">
        <v>52</v>
      </c>
      <c r="E19" s="449">
        <f>Boilers!F$36</f>
        <v>2.7413647058823531E-5</v>
      </c>
      <c r="F19" s="457">
        <v>250</v>
      </c>
      <c r="G19" s="458" t="str">
        <f t="shared" si="0"/>
        <v>No</v>
      </c>
      <c r="H19" s="417"/>
      <c r="I19" s="227"/>
      <c r="J19" s="244"/>
      <c r="K19" s="419" t="s">
        <v>8</v>
      </c>
      <c r="L19" s="687" t="s">
        <v>313</v>
      </c>
      <c r="M19" s="688"/>
      <c r="N19" s="689"/>
      <c r="O19" s="495">
        <f>MAX(Flares!D70:D76)</f>
        <v>2.2861079214721411</v>
      </c>
      <c r="P19" s="496" t="str">
        <f t="shared" ref="P19:P24" si="1">IF(O19&lt;5,"Yes","No")</f>
        <v>Yes</v>
      </c>
      <c r="Q19" s="245"/>
      <c r="R19" s="245"/>
      <c r="S19" s="245"/>
      <c r="T19" s="417"/>
      <c r="U19" s="227"/>
      <c r="V19" s="227"/>
    </row>
    <row r="20" spans="1:22" s="372" customFormat="1">
      <c r="A20" s="227"/>
      <c r="B20" s="227"/>
      <c r="C20" s="244"/>
      <c r="D20" s="404" t="s">
        <v>439</v>
      </c>
      <c r="E20" s="450">
        <f>'Gas Engines'!D$39+Boilers!F$37+'1750 kW Diesel Generator'!F$33</f>
        <v>0.12814265746058823</v>
      </c>
      <c r="F20" s="457">
        <v>250</v>
      </c>
      <c r="G20" s="458" t="str">
        <f t="shared" si="0"/>
        <v>No</v>
      </c>
      <c r="H20" s="417"/>
      <c r="I20" s="227"/>
      <c r="J20" s="244"/>
      <c r="K20" s="419" t="s">
        <v>13</v>
      </c>
      <c r="L20" s="690"/>
      <c r="M20" s="691"/>
      <c r="N20" s="692"/>
      <c r="O20" s="495">
        <f>MAX(Flares!E70:E76)</f>
        <v>0.86531591220071857</v>
      </c>
      <c r="P20" s="497" t="str">
        <f t="shared" si="1"/>
        <v>Yes</v>
      </c>
      <c r="Q20" s="245"/>
      <c r="R20" s="245"/>
      <c r="S20" s="245"/>
      <c r="T20" s="417"/>
      <c r="U20" s="227"/>
      <c r="V20" s="227"/>
    </row>
    <row r="21" spans="1:22" ht="15.75" thickBot="1">
      <c r="A21" s="227"/>
      <c r="B21" s="227"/>
      <c r="C21" s="244"/>
      <c r="D21" s="443" t="s">
        <v>440</v>
      </c>
      <c r="E21" s="448">
        <f>'New Carbon Scrubber Emissions'!I$22</f>
        <v>1.5342940919833319</v>
      </c>
      <c r="F21" s="455">
        <v>250</v>
      </c>
      <c r="G21" s="84" t="str">
        <f t="shared" si="0"/>
        <v>No</v>
      </c>
      <c r="H21" s="417"/>
      <c r="I21" s="227"/>
      <c r="J21" s="244"/>
      <c r="K21" s="419" t="s">
        <v>14</v>
      </c>
      <c r="L21" s="690"/>
      <c r="M21" s="691"/>
      <c r="N21" s="692"/>
      <c r="O21" s="495">
        <f>MAX(Flares!F70:F76)</f>
        <v>36.792625714285712</v>
      </c>
      <c r="P21" s="498" t="str">
        <f t="shared" si="1"/>
        <v>No</v>
      </c>
      <c r="Q21" s="245"/>
      <c r="R21" s="245"/>
      <c r="S21" s="245"/>
      <c r="T21" s="417"/>
      <c r="U21" s="227"/>
      <c r="V21" s="227"/>
    </row>
    <row r="22" spans="1:22">
      <c r="A22" s="227"/>
      <c r="B22" s="227"/>
      <c r="C22" s="244"/>
      <c r="D22" s="17" t="s">
        <v>22</v>
      </c>
      <c r="E22" s="542">
        <f>'Gas Engines'!D$41+Flares!D$77+Flares!E$77+Flares!F$77+Flares!G$77+Boilers!F$38+'1750 kW Diesel Generator'!F$41</f>
        <v>19203.378710199024</v>
      </c>
      <c r="F22" s="461" t="s">
        <v>15</v>
      </c>
      <c r="G22" s="462" t="s">
        <v>15</v>
      </c>
      <c r="H22" s="417"/>
      <c r="I22" s="227"/>
      <c r="J22" s="244"/>
      <c r="K22" s="560" t="s">
        <v>266</v>
      </c>
      <c r="L22" s="690"/>
      <c r="M22" s="691"/>
      <c r="N22" s="692"/>
      <c r="O22" s="561">
        <f>MAX(Flares!G70:G76)</f>
        <v>4.2440317200000001E-2</v>
      </c>
      <c r="P22" s="497" t="str">
        <f t="shared" si="1"/>
        <v>Yes</v>
      </c>
      <c r="Q22" s="245"/>
      <c r="R22" s="245"/>
      <c r="S22" s="245"/>
      <c r="T22" s="417"/>
      <c r="U22" s="227"/>
      <c r="V22" s="227"/>
    </row>
    <row r="23" spans="1:22" s="372" customFormat="1">
      <c r="A23" s="227"/>
      <c r="B23" s="227"/>
      <c r="C23" s="244"/>
      <c r="D23" s="19" t="s">
        <v>24</v>
      </c>
      <c r="E23" s="543">
        <f>'Gas Engines'!D$42+Flares!D$78+Flares!E$78+Flares!F$78+Flares!G$78+Boilers!F$39+'1750 kW Diesel Generator'!F$42</f>
        <v>106.37594853617561</v>
      </c>
      <c r="F23" s="456" t="s">
        <v>15</v>
      </c>
      <c r="G23" s="463" t="s">
        <v>15</v>
      </c>
      <c r="H23" s="417"/>
      <c r="I23" s="497"/>
      <c r="J23" s="227"/>
      <c r="K23" s="560" t="s">
        <v>441</v>
      </c>
      <c r="L23" s="244"/>
      <c r="M23" s="245"/>
      <c r="N23" s="417"/>
      <c r="O23" s="659">
        <f>'New Carbon Scrubber Emissions'!I22</f>
        <v>1.5342940919833319</v>
      </c>
      <c r="P23" s="497" t="str">
        <f t="shared" si="1"/>
        <v>Yes</v>
      </c>
      <c r="Q23" s="227"/>
      <c r="R23" s="227"/>
      <c r="S23" s="227"/>
      <c r="T23" s="417"/>
      <c r="U23" s="227"/>
      <c r="V23" s="227"/>
    </row>
    <row r="24" spans="1:22" s="372" customFormat="1" ht="15.75" thickBot="1">
      <c r="A24" s="227"/>
      <c r="B24" s="227"/>
      <c r="C24" s="244"/>
      <c r="D24" s="19" t="s">
        <v>292</v>
      </c>
      <c r="E24" s="544">
        <f>Boilers!F$40</f>
        <v>0.12062004705882354</v>
      </c>
      <c r="F24" s="456" t="s">
        <v>15</v>
      </c>
      <c r="G24" s="463" t="s">
        <v>15</v>
      </c>
      <c r="H24" s="417"/>
      <c r="I24" s="497"/>
      <c r="J24" s="227"/>
      <c r="K24" s="439" t="s">
        <v>520</v>
      </c>
      <c r="L24" s="244"/>
      <c r="M24" s="245"/>
      <c r="N24" s="430"/>
      <c r="O24" s="540">
        <f>MAX('Cooling Tower '!E40:G40)</f>
        <v>0.10648948054049751</v>
      </c>
      <c r="P24" s="661" t="str">
        <f t="shared" si="1"/>
        <v>Yes</v>
      </c>
      <c r="Q24" s="227"/>
      <c r="R24" s="227"/>
      <c r="S24" s="227"/>
      <c r="T24" s="417"/>
      <c r="U24" s="227"/>
      <c r="V24" s="227"/>
    </row>
    <row r="25" spans="1:22" ht="15" customHeight="1" thickBot="1">
      <c r="A25" s="227"/>
      <c r="B25" s="227"/>
      <c r="C25" s="244"/>
      <c r="D25" s="18" t="s">
        <v>294</v>
      </c>
      <c r="E25" s="545">
        <f>SUM(E22:E24)</f>
        <v>19309.87527878226</v>
      </c>
      <c r="F25" s="456" t="s">
        <v>15</v>
      </c>
      <c r="G25" s="464" t="s">
        <v>15</v>
      </c>
      <c r="H25" s="417"/>
      <c r="I25" s="497"/>
      <c r="J25" s="227"/>
      <c r="K25" s="245"/>
      <c r="L25" s="575"/>
      <c r="M25" s="575"/>
      <c r="N25" s="245"/>
      <c r="O25" s="660"/>
      <c r="P25" s="565"/>
      <c r="Q25" s="227"/>
      <c r="R25" s="227"/>
      <c r="S25" s="227"/>
      <c r="T25" s="417"/>
      <c r="U25" s="227"/>
      <c r="V25" s="227"/>
    </row>
    <row r="26" spans="1:22" ht="15.75" thickBot="1">
      <c r="A26" s="227"/>
      <c r="B26" s="227"/>
      <c r="C26" s="244"/>
      <c r="D26" s="443" t="s">
        <v>293</v>
      </c>
      <c r="E26" s="546">
        <f>(E22*1)+(E23*25)+(E24*298)</f>
        <v>21898.722197626943</v>
      </c>
      <c r="F26" s="465">
        <v>100000</v>
      </c>
      <c r="G26" s="454" t="str">
        <f>IF(E26&gt;=F26,"Yes","No")</f>
        <v>No</v>
      </c>
      <c r="H26" s="417"/>
      <c r="I26" s="497"/>
      <c r="J26" s="227"/>
      <c r="K26" s="664" t="s">
        <v>519</v>
      </c>
      <c r="L26" s="665"/>
      <c r="M26" s="665"/>
      <c r="N26" s="666"/>
      <c r="O26" s="566"/>
      <c r="P26" s="565"/>
      <c r="Q26" s="227"/>
      <c r="R26" s="227"/>
      <c r="S26" s="227"/>
      <c r="T26" s="417"/>
      <c r="U26" s="227"/>
      <c r="V26" s="227"/>
    </row>
    <row r="27" spans="1:22" ht="27.75" customHeight="1" thickBot="1">
      <c r="A27" s="227"/>
      <c r="B27" s="227"/>
      <c r="C27" s="426"/>
      <c r="D27" s="579"/>
      <c r="E27" s="576"/>
      <c r="F27" s="577"/>
      <c r="G27" s="578"/>
      <c r="H27" s="430"/>
      <c r="I27" s="497"/>
      <c r="J27" s="227"/>
      <c r="K27" s="667"/>
      <c r="L27" s="668"/>
      <c r="M27" s="668"/>
      <c r="N27" s="669"/>
      <c r="O27" s="227"/>
      <c r="P27" s="227"/>
      <c r="Q27" s="227"/>
      <c r="R27" s="227"/>
      <c r="S27" s="227"/>
      <c r="T27" s="417"/>
      <c r="U27" s="227"/>
      <c r="V27" s="227"/>
    </row>
    <row r="28" spans="1:22" ht="42" customHeight="1" thickBot="1">
      <c r="A28" s="227"/>
      <c r="B28" s="245"/>
      <c r="C28" s="245"/>
      <c r="D28" s="584"/>
      <c r="E28" s="572"/>
      <c r="F28" s="573"/>
      <c r="G28" s="574"/>
      <c r="H28" s="245"/>
      <c r="I28" s="417"/>
      <c r="J28" s="227"/>
      <c r="K28" s="478"/>
      <c r="L28" s="479" t="s">
        <v>443</v>
      </c>
      <c r="M28" s="480" t="s">
        <v>445</v>
      </c>
      <c r="N28" s="480" t="s">
        <v>446</v>
      </c>
      <c r="O28" s="227"/>
      <c r="P28" s="227"/>
      <c r="Q28" s="227"/>
      <c r="R28" s="227"/>
      <c r="S28" s="227"/>
      <c r="T28" s="417"/>
      <c r="U28" s="227"/>
      <c r="V28" s="227"/>
    </row>
    <row r="29" spans="1:22" ht="15" customHeight="1">
      <c r="A29" s="227"/>
      <c r="B29" s="245"/>
      <c r="C29" s="675" t="s">
        <v>453</v>
      </c>
      <c r="D29" s="676"/>
      <c r="E29" s="676"/>
      <c r="F29" s="676"/>
      <c r="G29" s="676"/>
      <c r="H29" s="677"/>
      <c r="I29" s="417"/>
      <c r="J29" s="227"/>
      <c r="K29" s="18" t="s">
        <v>291</v>
      </c>
      <c r="L29" s="444">
        <f>E12+'2000 kW Diesel Generator '!F26</f>
        <v>40.193208071661154</v>
      </c>
      <c r="M29" s="459">
        <v>100</v>
      </c>
      <c r="N29" s="460" t="str">
        <f t="shared" ref="N29:N38" si="2">IF(L29&gt;=M29,"Yes","No")</f>
        <v>No</v>
      </c>
      <c r="O29" s="227"/>
      <c r="P29" s="227"/>
      <c r="Q29" s="227"/>
      <c r="R29" s="227"/>
      <c r="S29" s="227"/>
      <c r="T29" s="417"/>
      <c r="U29" s="227"/>
      <c r="V29" s="227"/>
    </row>
    <row r="30" spans="1:22" s="372" customFormat="1" ht="15" customHeight="1" thickBot="1">
      <c r="A30" s="227"/>
      <c r="B30" s="227"/>
      <c r="C30" s="678"/>
      <c r="D30" s="679"/>
      <c r="E30" s="679"/>
      <c r="F30" s="679"/>
      <c r="G30" s="679"/>
      <c r="H30" s="680"/>
      <c r="I30" s="497"/>
      <c r="J30" s="227"/>
      <c r="K30" s="19" t="s">
        <v>6</v>
      </c>
      <c r="L30" s="444">
        <f>E13+'2000 kW Diesel Generator '!F25</f>
        <v>55.104217252042794</v>
      </c>
      <c r="M30" s="457">
        <v>100</v>
      </c>
      <c r="N30" s="458" t="str">
        <f t="shared" si="2"/>
        <v>No</v>
      </c>
      <c r="O30" s="227"/>
      <c r="P30" s="227"/>
      <c r="Q30" s="227"/>
      <c r="R30" s="227"/>
      <c r="S30" s="227"/>
      <c r="T30" s="417"/>
      <c r="U30" s="227"/>
      <c r="V30" s="227"/>
    </row>
    <row r="31" spans="1:22" ht="15.75" customHeight="1" thickBot="1">
      <c r="A31" s="227"/>
      <c r="B31" s="227"/>
      <c r="C31" s="580"/>
      <c r="D31" s="581"/>
      <c r="E31" s="581"/>
      <c r="F31" s="581"/>
      <c r="G31" s="581"/>
      <c r="H31" s="488"/>
      <c r="I31" s="497"/>
      <c r="J31" s="227"/>
      <c r="K31" s="19" t="s">
        <v>12</v>
      </c>
      <c r="L31" s="445">
        <f>E14+'2000 kW Diesel Generator '!F31</f>
        <v>16.13992052858212</v>
      </c>
      <c r="M31" s="457">
        <v>100</v>
      </c>
      <c r="N31" s="458" t="str">
        <f t="shared" si="2"/>
        <v>No</v>
      </c>
      <c r="O31" s="227"/>
      <c r="P31" s="227"/>
      <c r="Q31" s="227"/>
      <c r="R31" s="227"/>
      <c r="S31" s="227"/>
      <c r="T31" s="417"/>
      <c r="U31" s="227"/>
      <c r="V31" s="227"/>
    </row>
    <row r="32" spans="1:22" ht="15.75" thickBot="1">
      <c r="A32" s="227"/>
      <c r="B32" s="227"/>
      <c r="C32" s="244"/>
      <c r="D32" s="670" t="s">
        <v>450</v>
      </c>
      <c r="E32" s="672"/>
      <c r="F32" s="672"/>
      <c r="G32" s="671"/>
      <c r="H32" s="417"/>
      <c r="I32" s="497"/>
      <c r="J32" s="227"/>
      <c r="K32" s="19" t="s">
        <v>21</v>
      </c>
      <c r="L32" s="446">
        <f>E15+'2000 kW Diesel Generator '!F30</f>
        <v>40.02937416262867</v>
      </c>
      <c r="M32" s="457">
        <v>100</v>
      </c>
      <c r="N32" s="458" t="str">
        <f t="shared" si="2"/>
        <v>No</v>
      </c>
      <c r="O32" s="227"/>
      <c r="P32" s="227"/>
      <c r="Q32" s="227"/>
      <c r="R32" s="227"/>
      <c r="S32" s="227"/>
      <c r="T32" s="417"/>
      <c r="U32" s="227"/>
      <c r="V32" s="227"/>
    </row>
    <row r="33" spans="1:22" ht="51.75" thickBot="1">
      <c r="A33" s="227"/>
      <c r="B33" s="227"/>
      <c r="C33" s="244"/>
      <c r="D33" s="478"/>
      <c r="E33" s="479" t="s">
        <v>451</v>
      </c>
      <c r="F33" s="480" t="s">
        <v>298</v>
      </c>
      <c r="G33" s="480" t="s">
        <v>297</v>
      </c>
      <c r="H33" s="417"/>
      <c r="I33" s="497"/>
      <c r="J33" s="227"/>
      <c r="K33" s="19" t="s">
        <v>349</v>
      </c>
      <c r="L33" s="494">
        <f>$E$38</f>
        <v>1.4320197471779117</v>
      </c>
      <c r="M33" s="492">
        <v>100</v>
      </c>
      <c r="N33" s="493" t="str">
        <f t="shared" si="2"/>
        <v>No</v>
      </c>
      <c r="O33" s="227"/>
      <c r="P33" s="227"/>
      <c r="Q33" s="227"/>
      <c r="R33" s="227"/>
      <c r="S33" s="227"/>
      <c r="T33" s="417"/>
      <c r="U33" s="227"/>
      <c r="V33" s="227"/>
    </row>
    <row r="34" spans="1:22">
      <c r="A34" s="227"/>
      <c r="B34" s="227"/>
      <c r="C34" s="244"/>
      <c r="D34" s="18" t="s">
        <v>291</v>
      </c>
      <c r="E34" s="648">
        <f>'Gas Engines'!D$33+Flares!D$70+Flares!E$70+Flares!F$70+Flares!G$70+Boilers!F$30+'1750 kW Diesel Generator'!F$26+'2000 kW Diesel Generator '!F$26</f>
        <v>40.193208071661154</v>
      </c>
      <c r="F34" s="459">
        <v>100</v>
      </c>
      <c r="G34" s="460" t="str">
        <f t="shared" ref="G34:G43" si="3">IF(E34&gt;=F34,"Yes","No")</f>
        <v>No</v>
      </c>
      <c r="H34" s="417"/>
      <c r="I34" s="497"/>
      <c r="J34" s="227"/>
      <c r="K34" s="19" t="s">
        <v>344</v>
      </c>
      <c r="L34" s="447">
        <f>$E$39</f>
        <v>2.5780569010484999</v>
      </c>
      <c r="M34" s="457">
        <v>100</v>
      </c>
      <c r="N34" s="458" t="str">
        <f t="shared" si="2"/>
        <v>No</v>
      </c>
      <c r="O34" s="227"/>
      <c r="P34" s="227"/>
      <c r="Q34" s="227"/>
      <c r="R34" s="227"/>
      <c r="S34" s="227"/>
      <c r="T34" s="417"/>
      <c r="U34" s="227"/>
      <c r="V34" s="227"/>
    </row>
    <row r="35" spans="1:22">
      <c r="A35" s="227"/>
      <c r="B35" s="227"/>
      <c r="C35" s="244"/>
      <c r="D35" s="19" t="s">
        <v>6</v>
      </c>
      <c r="E35" s="648">
        <f>'Gas Engines'!D$40+Flares!D$71+Flares!E$71+Flares!F$71+Flares!G$71+Boilers!F$29+'1750 kW Diesel Generator'!F$25+'2000 kW Diesel Generator '!F25</f>
        <v>55.104217252042794</v>
      </c>
      <c r="F35" s="457">
        <v>100</v>
      </c>
      <c r="G35" s="458" t="str">
        <f t="shared" si="3"/>
        <v>No</v>
      </c>
      <c r="H35" s="417"/>
      <c r="I35" s="497"/>
      <c r="J35" s="227"/>
      <c r="K35" s="18" t="s">
        <v>345</v>
      </c>
      <c r="L35" s="447">
        <f>$E$40</f>
        <v>2.5354611088323011</v>
      </c>
      <c r="M35" s="457">
        <v>100</v>
      </c>
      <c r="N35" s="458" t="str">
        <f t="shared" si="2"/>
        <v>No</v>
      </c>
      <c r="O35" s="227"/>
      <c r="P35" s="227"/>
      <c r="Q35" s="227"/>
      <c r="R35" s="227"/>
      <c r="S35" s="227"/>
      <c r="T35" s="417"/>
      <c r="U35" s="227"/>
      <c r="V35" s="227"/>
    </row>
    <row r="36" spans="1:22">
      <c r="A36" s="227"/>
      <c r="B36" s="227"/>
      <c r="C36" s="244"/>
      <c r="D36" s="19" t="s">
        <v>12</v>
      </c>
      <c r="E36" s="649">
        <f>'Gas Engines'!D$34+Flares!D$72+Flares!E$72+Flares!F$72+Flares!G$72+Boilers!F$35+'1750 kW Diesel Generator'!F$31+'2000 kW Diesel Generator '!F31</f>
        <v>16.13992052858212</v>
      </c>
      <c r="F36" s="457">
        <v>100</v>
      </c>
      <c r="G36" s="458" t="str">
        <f t="shared" si="3"/>
        <v>No</v>
      </c>
      <c r="H36" s="417"/>
      <c r="I36" s="497"/>
      <c r="J36" s="227"/>
      <c r="K36" s="404" t="s">
        <v>52</v>
      </c>
      <c r="L36" s="449">
        <f>E19</f>
        <v>2.7413647058823531E-5</v>
      </c>
      <c r="M36" s="457">
        <v>100</v>
      </c>
      <c r="N36" s="458" t="str">
        <f t="shared" si="2"/>
        <v>No</v>
      </c>
      <c r="O36" s="227"/>
      <c r="P36" s="227"/>
      <c r="Q36" s="227"/>
      <c r="R36" s="227"/>
      <c r="S36" s="227"/>
      <c r="T36" s="417"/>
      <c r="U36" s="227"/>
      <c r="V36" s="227"/>
    </row>
    <row r="37" spans="1:22">
      <c r="A37" s="227"/>
      <c r="B37" s="227"/>
      <c r="C37" s="244"/>
      <c r="D37" s="19" t="s">
        <v>21</v>
      </c>
      <c r="E37" s="494">
        <f>'Gas Engines'!D$38+Flares!D$73+Flares!E$73+Flares!F$73+Flares!G$73+Boilers!F$34+'1750 kW Diesel Generator'!F$30+'2000 kW Diesel Generator '!F$30</f>
        <v>40.02937416262867</v>
      </c>
      <c r="F37" s="457">
        <v>100</v>
      </c>
      <c r="G37" s="458" t="str">
        <f t="shared" si="3"/>
        <v>No</v>
      </c>
      <c r="H37" s="417"/>
      <c r="I37" s="497"/>
      <c r="J37" s="227"/>
      <c r="K37" s="404" t="s">
        <v>439</v>
      </c>
      <c r="L37" s="450">
        <f>E20+'2000 kW Diesel Generator '!F33</f>
        <v>0.13037728714808822</v>
      </c>
      <c r="M37" s="457">
        <v>100</v>
      </c>
      <c r="N37" s="458" t="str">
        <f t="shared" si="2"/>
        <v>No</v>
      </c>
      <c r="O37" s="227"/>
      <c r="P37" s="227"/>
      <c r="Q37" s="227"/>
      <c r="R37" s="227"/>
      <c r="S37" s="227"/>
      <c r="T37" s="417"/>
      <c r="U37" s="227"/>
      <c r="V37" s="227"/>
    </row>
    <row r="38" spans="1:22" ht="16.5" thickBot="1">
      <c r="A38" s="227"/>
      <c r="B38" s="227"/>
      <c r="C38" s="244"/>
      <c r="D38" s="19" t="s">
        <v>349</v>
      </c>
      <c r="E38" s="662">
        <f>'Gas Engines'!D$37+Flares!D$49+Boilers!F$31+'1750 kW Diesel Generator'!F$27+'2000 kW Diesel Generator '!F27+'Cooling Tower '!E40</f>
        <v>1.4320197471779117</v>
      </c>
      <c r="F38" s="492">
        <v>100</v>
      </c>
      <c r="G38" s="493" t="str">
        <f t="shared" si="3"/>
        <v>No</v>
      </c>
      <c r="H38" s="417"/>
      <c r="I38" s="497"/>
      <c r="J38" s="227"/>
      <c r="K38" s="443" t="s">
        <v>440</v>
      </c>
      <c r="L38" s="448">
        <f>E21</f>
        <v>1.5342940919833319</v>
      </c>
      <c r="M38" s="455">
        <v>100</v>
      </c>
      <c r="N38" s="84" t="str">
        <f t="shared" si="2"/>
        <v>No</v>
      </c>
      <c r="O38" s="227"/>
      <c r="P38" s="227"/>
      <c r="Q38" s="227"/>
      <c r="R38" s="227"/>
      <c r="S38" s="227"/>
      <c r="T38" s="417"/>
      <c r="U38" s="227"/>
      <c r="V38" s="227"/>
    </row>
    <row r="39" spans="1:22">
      <c r="A39" s="227"/>
      <c r="B39" s="227"/>
      <c r="C39" s="244"/>
      <c r="D39" s="19" t="s">
        <v>344</v>
      </c>
      <c r="E39" s="650">
        <f>'Gas Engines'!D$35+Flares!D$75+Boilers!F$32+'1750 kW Diesel Generator'!F$28+'2000 kW Diesel Generator '!F28+'Cooling Tower '!F40</f>
        <v>2.5780569010484999</v>
      </c>
      <c r="F39" s="457">
        <v>100</v>
      </c>
      <c r="G39" s="458" t="str">
        <f t="shared" si="3"/>
        <v>No</v>
      </c>
      <c r="H39" s="417"/>
      <c r="I39" s="497"/>
      <c r="J39" s="227"/>
      <c r="K39" s="17" t="s">
        <v>22</v>
      </c>
      <c r="L39" s="542">
        <f>E22+'2000 kW Diesel Generator '!F37</f>
        <v>19358.934710199024</v>
      </c>
      <c r="M39" s="461" t="s">
        <v>15</v>
      </c>
      <c r="N39" s="462" t="s">
        <v>15</v>
      </c>
      <c r="O39" s="227"/>
      <c r="P39" s="227"/>
      <c r="Q39" s="227"/>
      <c r="R39" s="227"/>
      <c r="S39" s="227"/>
      <c r="T39" s="417"/>
      <c r="U39" s="227"/>
      <c r="V39" s="227"/>
    </row>
    <row r="40" spans="1:22">
      <c r="A40" s="227"/>
      <c r="B40" s="227"/>
      <c r="C40" s="244"/>
      <c r="D40" s="18" t="s">
        <v>345</v>
      </c>
      <c r="E40" s="650">
        <f>'Gas Engines'!D$36+Flares!D$76+Boilers!F$33+'1750 kW Diesel Generator'!F$29+'2000 kW Diesel Generator '!F29+'Cooling Tower '!G40</f>
        <v>2.5354611088323011</v>
      </c>
      <c r="F40" s="457">
        <v>100</v>
      </c>
      <c r="G40" s="458" t="str">
        <f t="shared" si="3"/>
        <v>No</v>
      </c>
      <c r="H40" s="417"/>
      <c r="I40" s="497"/>
      <c r="J40" s="227"/>
      <c r="K40" s="19" t="s">
        <v>24</v>
      </c>
      <c r="L40" s="543">
        <f>E23+'2000 kW Diesel Generator '!F38</f>
        <v>106.38445718117562</v>
      </c>
      <c r="M40" s="456" t="s">
        <v>15</v>
      </c>
      <c r="N40" s="463" t="s">
        <v>15</v>
      </c>
      <c r="O40" s="227"/>
      <c r="P40" s="227"/>
      <c r="Q40" s="227"/>
      <c r="R40" s="227"/>
      <c r="S40" s="227"/>
      <c r="T40" s="417"/>
      <c r="U40" s="227"/>
      <c r="V40" s="227"/>
    </row>
    <row r="41" spans="1:22">
      <c r="A41" s="227"/>
      <c r="B41" s="227"/>
      <c r="C41" s="244"/>
      <c r="D41" s="404" t="s">
        <v>52</v>
      </c>
      <c r="E41" s="651">
        <f>Boilers!F$36</f>
        <v>2.7413647058823531E-5</v>
      </c>
      <c r="F41" s="457">
        <v>5</v>
      </c>
      <c r="G41" s="458" t="str">
        <f t="shared" si="3"/>
        <v>No</v>
      </c>
      <c r="H41" s="417"/>
      <c r="I41" s="497"/>
      <c r="J41" s="227"/>
      <c r="K41" s="19" t="s">
        <v>292</v>
      </c>
      <c r="L41" s="544">
        <f>E24</f>
        <v>0.12062004705882354</v>
      </c>
      <c r="M41" s="456" t="s">
        <v>15</v>
      </c>
      <c r="N41" s="463" t="s">
        <v>15</v>
      </c>
      <c r="O41" s="227"/>
      <c r="P41" s="227"/>
      <c r="Q41" s="227"/>
      <c r="R41" s="227"/>
      <c r="S41" s="227"/>
      <c r="T41" s="417"/>
      <c r="U41" s="227"/>
      <c r="V41" s="227"/>
    </row>
    <row r="42" spans="1:22" s="372" customFormat="1">
      <c r="A42" s="227"/>
      <c r="B42" s="227"/>
      <c r="C42" s="244"/>
      <c r="D42" s="404" t="s">
        <v>439</v>
      </c>
      <c r="E42" s="652">
        <f>'Gas Engines'!D$39+Boilers!F$37+'1750 kW Diesel Generator'!F$33+'2000 kW Diesel Generator '!F33</f>
        <v>0.13037728714808822</v>
      </c>
      <c r="F42" s="457">
        <v>100</v>
      </c>
      <c r="G42" s="458" t="str">
        <f t="shared" si="3"/>
        <v>No</v>
      </c>
      <c r="H42" s="417"/>
      <c r="I42" s="497"/>
      <c r="J42" s="227"/>
      <c r="K42" s="18" t="s">
        <v>294</v>
      </c>
      <c r="L42" s="545">
        <f>SUM(L39:L41)</f>
        <v>19465.439787427258</v>
      </c>
      <c r="M42" s="456" t="s">
        <v>15</v>
      </c>
      <c r="N42" s="464" t="s">
        <v>15</v>
      </c>
      <c r="O42" s="227"/>
      <c r="P42" s="227"/>
      <c r="Q42" s="227"/>
      <c r="R42" s="227"/>
      <c r="S42" s="227"/>
      <c r="T42" s="417"/>
      <c r="U42" s="227"/>
      <c r="V42" s="227"/>
    </row>
    <row r="43" spans="1:22" ht="15.75" thickBot="1">
      <c r="A43" s="227"/>
      <c r="B43" s="227"/>
      <c r="C43" s="244"/>
      <c r="D43" s="443" t="s">
        <v>440</v>
      </c>
      <c r="E43" s="653">
        <f>'New Carbon Scrubber Emissions'!I$22+'Existing Scrubber Emissions'!I17</f>
        <v>2.7169791212204832</v>
      </c>
      <c r="F43" s="582">
        <v>100</v>
      </c>
      <c r="G43" s="454" t="str">
        <f t="shared" si="3"/>
        <v>No</v>
      </c>
      <c r="H43" s="417"/>
      <c r="I43" s="497"/>
      <c r="J43" s="227"/>
      <c r="K43" s="443" t="s">
        <v>293</v>
      </c>
      <c r="L43" s="546">
        <f>(L39*1)+(L40*25)+(L41*298)</f>
        <v>22054.490913751946</v>
      </c>
      <c r="M43" s="465">
        <v>100000</v>
      </c>
      <c r="N43" s="454" t="str">
        <f>IF(L43&gt;=M43,"Yes","No")</f>
        <v>No</v>
      </c>
      <c r="O43" s="227"/>
      <c r="P43" s="227"/>
      <c r="Q43" s="227"/>
      <c r="R43" s="227"/>
      <c r="S43" s="227"/>
      <c r="T43" s="417"/>
      <c r="U43" s="227"/>
      <c r="V43" s="227"/>
    </row>
    <row r="44" spans="1:22">
      <c r="A44" s="227"/>
      <c r="B44" s="227"/>
      <c r="C44" s="244"/>
      <c r="D44" s="17" t="s">
        <v>22</v>
      </c>
      <c r="E44" s="654">
        <f>'Gas Engines'!D$41+Flares!D$77+Flares!E$77+Flares!F$77+Flares!G$77+Boilers!F$38+'1750 kW Diesel Generator'!F$41+'2000 kW Diesel Generator '!F$37</f>
        <v>19358.934710199024</v>
      </c>
      <c r="F44" s="587" t="s">
        <v>15</v>
      </c>
      <c r="G44" s="590" t="s">
        <v>15</v>
      </c>
      <c r="H44" s="417"/>
      <c r="I44" s="497"/>
      <c r="J44" s="244"/>
      <c r="K44" s="245"/>
      <c r="L44" s="245"/>
      <c r="M44" s="245"/>
      <c r="N44" s="245"/>
      <c r="O44" s="227"/>
      <c r="P44" s="227"/>
      <c r="Q44" s="227"/>
      <c r="R44" s="227"/>
      <c r="S44" s="227"/>
      <c r="T44" s="417"/>
      <c r="U44" s="227"/>
      <c r="V44" s="227"/>
    </row>
    <row r="45" spans="1:22" ht="15.75" customHeight="1" thickBot="1">
      <c r="A45" s="227"/>
      <c r="B45" s="227"/>
      <c r="C45" s="244"/>
      <c r="D45" s="19" t="s">
        <v>24</v>
      </c>
      <c r="E45" s="655">
        <f>'Gas Engines'!D$42+Flares!D$78+Flares!E$78+Flares!F$78+Flares!G$78+Boilers!F$39+'1750 kW Diesel Generator'!F$42+'2000 kW Diesel Generator '!F$38</f>
        <v>106.38445718117562</v>
      </c>
      <c r="F45" s="588" t="s">
        <v>15</v>
      </c>
      <c r="G45" s="591" t="s">
        <v>15</v>
      </c>
      <c r="H45" s="417"/>
      <c r="I45" s="497"/>
      <c r="J45" s="426"/>
      <c r="K45" s="427"/>
      <c r="L45" s="427"/>
      <c r="M45" s="427"/>
      <c r="N45" s="427"/>
      <c r="O45" s="427"/>
      <c r="P45" s="427"/>
      <c r="Q45" s="427"/>
      <c r="R45" s="427"/>
      <c r="S45" s="427"/>
      <c r="T45" s="430"/>
      <c r="U45" s="227"/>
      <c r="V45" s="227"/>
    </row>
    <row r="46" spans="1:22" ht="15.75" customHeight="1">
      <c r="A46" s="227"/>
      <c r="B46" s="227"/>
      <c r="C46" s="244"/>
      <c r="D46" s="19" t="s">
        <v>292</v>
      </c>
      <c r="E46" s="656">
        <f>Boilers!F$40</f>
        <v>0.12062004705882354</v>
      </c>
      <c r="F46" s="589" t="s">
        <v>15</v>
      </c>
      <c r="G46" s="592" t="s">
        <v>15</v>
      </c>
      <c r="H46" s="417"/>
      <c r="I46" s="227"/>
      <c r="J46" s="227"/>
      <c r="K46" s="227"/>
      <c r="L46" s="227"/>
      <c r="M46" s="227"/>
      <c r="N46" s="227"/>
      <c r="O46" s="227"/>
      <c r="P46" s="227"/>
      <c r="Q46" s="227"/>
      <c r="R46" s="227"/>
      <c r="S46" s="227"/>
      <c r="T46" s="227"/>
      <c r="U46" s="227"/>
      <c r="V46" s="227"/>
    </row>
    <row r="47" spans="1:22" s="372" customFormat="1" ht="15.75" customHeight="1">
      <c r="A47" s="227"/>
      <c r="B47" s="227"/>
      <c r="C47" s="244"/>
      <c r="D47" s="18" t="s">
        <v>452</v>
      </c>
      <c r="E47" s="657">
        <f>SUM(E44:E46)</f>
        <v>19465.439787427258</v>
      </c>
      <c r="F47" s="470">
        <v>100</v>
      </c>
      <c r="G47" s="472" t="str">
        <f t="shared" ref="G47:G48" si="4">IF(E47&gt;=F47,"Yes","No")</f>
        <v>Yes</v>
      </c>
      <c r="H47" s="417"/>
      <c r="I47" s="227"/>
      <c r="J47" s="227"/>
      <c r="K47" s="227"/>
      <c r="L47" s="227"/>
      <c r="M47" s="227"/>
      <c r="N47" s="227"/>
      <c r="O47" s="227"/>
      <c r="P47" s="227"/>
      <c r="Q47" s="227"/>
      <c r="R47" s="227"/>
      <c r="S47" s="227"/>
      <c r="T47" s="227"/>
      <c r="U47" s="227"/>
      <c r="V47" s="227"/>
    </row>
    <row r="48" spans="1:22" ht="15.75" thickBot="1">
      <c r="A48" s="227"/>
      <c r="B48" s="227"/>
      <c r="C48" s="244"/>
      <c r="D48" s="443" t="s">
        <v>293</v>
      </c>
      <c r="E48" s="658">
        <f>(E44*1)+(E45*25)+(E46*298)</f>
        <v>22054.490913751946</v>
      </c>
      <c r="F48" s="585">
        <v>100000</v>
      </c>
      <c r="G48" s="586" t="str">
        <f t="shared" si="4"/>
        <v>No</v>
      </c>
      <c r="H48" s="417"/>
      <c r="I48" s="227"/>
      <c r="J48" s="227"/>
      <c r="K48" s="227"/>
      <c r="L48" s="227"/>
      <c r="M48" s="227"/>
      <c r="N48" s="227"/>
      <c r="O48" s="227"/>
      <c r="P48" s="227"/>
      <c r="Q48" s="227"/>
      <c r="R48" s="227"/>
      <c r="S48" s="227"/>
      <c r="T48" s="227"/>
      <c r="U48" s="227"/>
      <c r="V48" s="227"/>
    </row>
    <row r="49" spans="1:22" ht="15.75" thickBot="1">
      <c r="A49" s="227"/>
      <c r="B49" s="227"/>
      <c r="C49" s="244"/>
      <c r="D49" s="427"/>
      <c r="E49" s="575"/>
      <c r="F49" s="575"/>
      <c r="G49" s="245"/>
      <c r="H49" s="417"/>
      <c r="I49" s="227"/>
      <c r="J49" s="227"/>
      <c r="K49" s="227"/>
      <c r="L49" s="227"/>
      <c r="M49" s="227"/>
      <c r="N49" s="227"/>
      <c r="O49" s="227"/>
      <c r="P49" s="227"/>
      <c r="Q49" s="227"/>
      <c r="R49" s="227"/>
      <c r="S49" s="227"/>
      <c r="T49" s="227"/>
      <c r="U49" s="227"/>
      <c r="V49" s="227"/>
    </row>
    <row r="50" spans="1:22" ht="30" customHeight="1" thickBot="1">
      <c r="A50" s="227"/>
      <c r="B50" s="227"/>
      <c r="C50" s="244"/>
      <c r="D50" s="670" t="s">
        <v>295</v>
      </c>
      <c r="E50" s="671"/>
      <c r="F50" s="673" t="s">
        <v>298</v>
      </c>
      <c r="G50" s="673" t="s">
        <v>297</v>
      </c>
      <c r="H50" s="417"/>
      <c r="I50" s="227"/>
      <c r="J50" s="227"/>
      <c r="K50" s="227"/>
      <c r="L50" s="227"/>
      <c r="M50" s="227"/>
      <c r="N50" s="227"/>
      <c r="O50" s="227"/>
      <c r="P50" s="227"/>
      <c r="Q50" s="227"/>
      <c r="R50" s="227"/>
      <c r="S50" s="227"/>
      <c r="T50" s="227"/>
      <c r="U50" s="227"/>
      <c r="V50" s="227"/>
    </row>
    <row r="51" spans="1:22" ht="34.5" customHeight="1" thickBot="1">
      <c r="A51" s="227"/>
      <c r="B51" s="227"/>
      <c r="C51" s="244"/>
      <c r="D51" s="481"/>
      <c r="E51" s="482" t="s">
        <v>141</v>
      </c>
      <c r="F51" s="674"/>
      <c r="G51" s="674"/>
      <c r="H51" s="417"/>
      <c r="I51" s="227"/>
      <c r="J51" s="227"/>
      <c r="K51" s="227"/>
      <c r="L51" s="227"/>
      <c r="M51" s="227"/>
      <c r="N51" s="227"/>
      <c r="O51" s="227"/>
      <c r="P51" s="227"/>
      <c r="Q51" s="227"/>
      <c r="R51" s="227"/>
      <c r="S51" s="227"/>
      <c r="T51" s="227"/>
      <c r="U51" s="227"/>
      <c r="V51" s="227"/>
    </row>
    <row r="52" spans="1:22">
      <c r="A52" s="227"/>
      <c r="B52" s="227"/>
      <c r="C52" s="244"/>
      <c r="D52" s="451" t="s">
        <v>55</v>
      </c>
      <c r="E52" s="466">
        <f>'Gas Engines'!F48</f>
        <v>3.3643656000000004E-3</v>
      </c>
      <c r="F52" s="459">
        <v>10</v>
      </c>
      <c r="G52" s="469" t="str">
        <f t="shared" ref="G52:G88" si="5">IF(E52&gt;=F52,"Yes","No")</f>
        <v>No</v>
      </c>
      <c r="H52" s="417"/>
      <c r="I52" s="227"/>
      <c r="J52" s="227"/>
      <c r="K52" s="227"/>
      <c r="L52" s="227"/>
      <c r="M52" s="227"/>
      <c r="N52" s="227"/>
      <c r="O52" s="227"/>
      <c r="P52" s="227"/>
      <c r="Q52" s="227"/>
      <c r="R52" s="227"/>
      <c r="S52" s="227"/>
      <c r="T52" s="227"/>
      <c r="U52" s="227"/>
      <c r="V52" s="227"/>
    </row>
    <row r="53" spans="1:22">
      <c r="A53" s="227"/>
      <c r="B53" s="227"/>
      <c r="C53" s="244"/>
      <c r="D53" s="452" t="s">
        <v>56</v>
      </c>
      <c r="E53" s="467">
        <f>'Gas Engines'!F49</f>
        <v>2.6746706520000005E-3</v>
      </c>
      <c r="F53" s="470">
        <v>10</v>
      </c>
      <c r="G53" s="85" t="str">
        <f t="shared" si="5"/>
        <v>No</v>
      </c>
      <c r="H53" s="417"/>
      <c r="I53" s="227"/>
      <c r="J53" s="227"/>
      <c r="K53" s="227"/>
      <c r="L53" s="227"/>
      <c r="M53" s="227"/>
      <c r="N53" s="227"/>
      <c r="O53" s="227"/>
      <c r="P53" s="227"/>
      <c r="Q53" s="227"/>
      <c r="R53" s="227"/>
      <c r="S53" s="227"/>
      <c r="T53" s="227"/>
      <c r="U53" s="227"/>
      <c r="V53" s="227"/>
    </row>
    <row r="54" spans="1:22">
      <c r="A54" s="227"/>
      <c r="B54" s="227"/>
      <c r="C54" s="244"/>
      <c r="D54" s="452" t="s">
        <v>57</v>
      </c>
      <c r="E54" s="467">
        <f>'Gas Engines'!F50</f>
        <v>2.2457140380000001E-2</v>
      </c>
      <c r="F54" s="470">
        <v>10</v>
      </c>
      <c r="G54" s="85" t="str">
        <f t="shared" si="5"/>
        <v>No</v>
      </c>
      <c r="H54" s="417"/>
      <c r="I54" s="227"/>
      <c r="J54" s="227"/>
      <c r="K54" s="227"/>
      <c r="L54" s="227"/>
      <c r="M54" s="227"/>
      <c r="N54" s="227"/>
      <c r="O54" s="227"/>
      <c r="P54" s="227"/>
      <c r="Q54" s="227"/>
      <c r="R54" s="227"/>
      <c r="S54" s="227"/>
      <c r="T54" s="227"/>
      <c r="U54" s="227"/>
      <c r="V54" s="227"/>
    </row>
    <row r="55" spans="1:22">
      <c r="A55" s="227"/>
      <c r="B55" s="227"/>
      <c r="C55" s="244"/>
      <c r="D55" s="452" t="s">
        <v>58</v>
      </c>
      <c r="E55" s="467">
        <f>'Gas Engines'!F51</f>
        <v>2.2204812960000004E-3</v>
      </c>
      <c r="F55" s="470">
        <v>10</v>
      </c>
      <c r="G55" s="85" t="str">
        <f t="shared" si="5"/>
        <v>No</v>
      </c>
      <c r="H55" s="417"/>
      <c r="I55" s="227"/>
      <c r="J55" s="227"/>
      <c r="K55" s="227"/>
      <c r="L55" s="227"/>
      <c r="M55" s="227"/>
      <c r="N55" s="227"/>
      <c r="O55" s="227"/>
      <c r="P55" s="227"/>
      <c r="Q55" s="227"/>
      <c r="R55" s="227"/>
      <c r="S55" s="227"/>
      <c r="T55" s="227"/>
      <c r="U55" s="227"/>
      <c r="V55" s="227"/>
    </row>
    <row r="56" spans="1:22">
      <c r="A56" s="227"/>
      <c r="B56" s="227"/>
      <c r="C56" s="244"/>
      <c r="D56" s="452" t="s">
        <v>60</v>
      </c>
      <c r="E56" s="467">
        <f>'Gas Engines'!F52</f>
        <v>2.1027285000000007E-2</v>
      </c>
      <c r="F56" s="470">
        <v>10</v>
      </c>
      <c r="G56" s="85" t="str">
        <f t="shared" si="5"/>
        <v>No</v>
      </c>
      <c r="H56" s="417"/>
      <c r="I56" s="227"/>
      <c r="J56" s="227"/>
      <c r="K56" s="245"/>
      <c r="L56" s="245"/>
      <c r="M56" s="245"/>
      <c r="N56" s="227"/>
      <c r="O56" s="227"/>
      <c r="P56" s="227"/>
      <c r="Q56" s="227"/>
      <c r="R56" s="227"/>
      <c r="S56" s="227"/>
      <c r="T56" s="227"/>
      <c r="U56" s="227"/>
      <c r="V56" s="227"/>
    </row>
    <row r="57" spans="1:22">
      <c r="A57" s="227"/>
      <c r="B57" s="227"/>
      <c r="C57" s="244"/>
      <c r="D57" s="452" t="s">
        <v>61</v>
      </c>
      <c r="E57" s="467">
        <f>'Gas Engines'!F53+'1750 kW HAP Emissions'!F36+'2000 kW HAP Emissions'!F36</f>
        <v>0.70319798208000017</v>
      </c>
      <c r="F57" s="470">
        <v>10</v>
      </c>
      <c r="G57" s="85" t="str">
        <f t="shared" si="5"/>
        <v>No</v>
      </c>
      <c r="H57" s="417"/>
      <c r="I57" s="227"/>
      <c r="J57" s="227"/>
      <c r="K57" s="245"/>
      <c r="L57" s="245"/>
      <c r="M57" s="245"/>
      <c r="N57" s="227"/>
      <c r="O57" s="227"/>
      <c r="P57" s="227"/>
      <c r="Q57" s="227"/>
      <c r="R57" s="227"/>
      <c r="S57" s="227"/>
      <c r="T57" s="227"/>
      <c r="U57" s="227"/>
      <c r="V57" s="227"/>
    </row>
    <row r="58" spans="1:22">
      <c r="A58" s="227"/>
      <c r="B58" s="227"/>
      <c r="C58" s="244"/>
      <c r="D58" s="452" t="s">
        <v>62</v>
      </c>
      <c r="E58" s="467">
        <f>'Gas Engines'!F54+'1750 kW HAP Emissions'!F37+'2000 kW HAP Emissions'!F37</f>
        <v>0.43233522979200006</v>
      </c>
      <c r="F58" s="470">
        <v>10</v>
      </c>
      <c r="G58" s="85" t="str">
        <f t="shared" si="5"/>
        <v>No</v>
      </c>
      <c r="H58" s="417"/>
      <c r="I58" s="227"/>
      <c r="J58" s="227"/>
      <c r="K58" s="245"/>
      <c r="L58" s="245"/>
      <c r="M58" s="245"/>
      <c r="N58" s="227"/>
      <c r="O58" s="227"/>
      <c r="P58" s="227"/>
      <c r="Q58" s="227"/>
      <c r="R58" s="227"/>
      <c r="S58" s="227"/>
      <c r="T58" s="227"/>
      <c r="U58" s="227"/>
      <c r="V58" s="227"/>
    </row>
    <row r="59" spans="1:22">
      <c r="A59" s="227"/>
      <c r="B59" s="227"/>
      <c r="C59" s="244"/>
      <c r="D59" s="452" t="s">
        <v>39</v>
      </c>
      <c r="E59" s="467">
        <f>'Gas Engines'!F55+Boilers!G47+'1750 kW HAP Emissions'!F32+'2000 kW HAP Emissions'!F32</f>
        <v>3.8526477317647058E-2</v>
      </c>
      <c r="F59" s="470">
        <v>10</v>
      </c>
      <c r="G59" s="85" t="str">
        <f t="shared" si="5"/>
        <v>No</v>
      </c>
      <c r="H59" s="417"/>
      <c r="I59" s="227"/>
      <c r="J59" s="227"/>
      <c r="K59" s="245"/>
      <c r="L59" s="245"/>
      <c r="M59" s="245"/>
      <c r="N59" s="227"/>
      <c r="O59" s="227"/>
      <c r="P59" s="227"/>
      <c r="Q59" s="227"/>
      <c r="R59" s="227"/>
      <c r="S59" s="227"/>
      <c r="T59" s="227"/>
      <c r="U59" s="227"/>
      <c r="V59" s="227"/>
    </row>
    <row r="60" spans="1:22">
      <c r="A60" s="227"/>
      <c r="B60" s="227"/>
      <c r="C60" s="244"/>
      <c r="D60" s="452" t="s">
        <v>64</v>
      </c>
      <c r="E60" s="467">
        <f>'Gas Engines'!F56</f>
        <v>1.7831137680000005E-2</v>
      </c>
      <c r="F60" s="470">
        <v>10</v>
      </c>
      <c r="G60" s="85" t="str">
        <f t="shared" si="5"/>
        <v>No</v>
      </c>
      <c r="H60" s="417"/>
      <c r="I60" s="227"/>
      <c r="J60" s="227"/>
      <c r="K60" s="245"/>
      <c r="L60" s="245"/>
      <c r="M60" s="245"/>
      <c r="N60" s="227"/>
      <c r="O60" s="227"/>
      <c r="P60" s="227"/>
      <c r="Q60" s="227"/>
      <c r="R60" s="227"/>
      <c r="S60" s="227"/>
      <c r="T60" s="227"/>
      <c r="U60" s="227"/>
      <c r="V60" s="227"/>
    </row>
    <row r="61" spans="1:22">
      <c r="A61" s="227"/>
      <c r="B61" s="227"/>
      <c r="C61" s="244"/>
      <c r="D61" s="452" t="s">
        <v>65</v>
      </c>
      <c r="E61" s="467">
        <f>'Gas Engines'!F57</f>
        <v>3.0868054380000002E-3</v>
      </c>
      <c r="F61" s="470">
        <v>10</v>
      </c>
      <c r="G61" s="85" t="str">
        <f t="shared" si="5"/>
        <v>No</v>
      </c>
      <c r="H61" s="417"/>
      <c r="I61" s="227"/>
      <c r="J61" s="227"/>
      <c r="K61" s="227"/>
      <c r="L61" s="227"/>
      <c r="M61" s="227"/>
      <c r="N61" s="227"/>
      <c r="O61" s="227"/>
      <c r="P61" s="227"/>
      <c r="Q61" s="227"/>
      <c r="R61" s="227"/>
      <c r="S61" s="227"/>
      <c r="T61" s="227"/>
      <c r="U61" s="227"/>
      <c r="V61" s="227"/>
    </row>
    <row r="62" spans="1:22">
      <c r="A62" s="227"/>
      <c r="B62" s="227"/>
      <c r="C62" s="244"/>
      <c r="D62" s="452" t="s">
        <v>66</v>
      </c>
      <c r="E62" s="467">
        <f>'Gas Engines'!F58</f>
        <v>2.5569178560000006E-3</v>
      </c>
      <c r="F62" s="470">
        <v>10</v>
      </c>
      <c r="G62" s="85" t="str">
        <f t="shared" si="5"/>
        <v>No</v>
      </c>
      <c r="H62" s="417"/>
      <c r="I62" s="227"/>
      <c r="J62" s="227"/>
      <c r="K62" s="227"/>
      <c r="L62" s="227"/>
      <c r="M62" s="227"/>
      <c r="N62" s="227"/>
      <c r="O62" s="227"/>
      <c r="P62" s="227"/>
      <c r="Q62" s="227"/>
      <c r="R62" s="227"/>
      <c r="S62" s="227"/>
      <c r="T62" s="227"/>
      <c r="U62" s="227"/>
      <c r="V62" s="227"/>
    </row>
    <row r="63" spans="1:22">
      <c r="A63" s="227"/>
      <c r="B63" s="227"/>
      <c r="C63" s="244"/>
      <c r="D63" s="452" t="s">
        <v>67</v>
      </c>
      <c r="E63" s="467">
        <f>'Gas Engines'!F59</f>
        <v>2.3971104900000002E-3</v>
      </c>
      <c r="F63" s="470">
        <v>10</v>
      </c>
      <c r="G63" s="85" t="str">
        <f t="shared" si="5"/>
        <v>No</v>
      </c>
      <c r="H63" s="417"/>
      <c r="I63" s="227"/>
      <c r="J63" s="227"/>
      <c r="K63" s="227"/>
      <c r="L63" s="227"/>
      <c r="M63" s="227"/>
      <c r="N63" s="227"/>
      <c r="O63" s="227"/>
      <c r="P63" s="227"/>
      <c r="Q63" s="227"/>
      <c r="R63" s="227"/>
      <c r="S63" s="227"/>
      <c r="T63" s="227"/>
      <c r="U63" s="227"/>
      <c r="V63" s="227"/>
    </row>
    <row r="64" spans="1:22">
      <c r="A64" s="227"/>
      <c r="B64" s="227"/>
      <c r="C64" s="244"/>
      <c r="D64" s="452" t="s">
        <v>146</v>
      </c>
      <c r="E64" s="467">
        <f>Boilers!G48</f>
        <v>6.5792752941176472E-5</v>
      </c>
      <c r="F64" s="470">
        <v>10</v>
      </c>
      <c r="G64" s="85" t="str">
        <f t="shared" si="5"/>
        <v>No</v>
      </c>
      <c r="H64" s="417"/>
      <c r="I64" s="227"/>
      <c r="J64" s="227"/>
      <c r="K64" s="227"/>
      <c r="L64" s="227"/>
      <c r="M64" s="227"/>
      <c r="N64" s="227"/>
      <c r="O64" s="227"/>
      <c r="P64" s="227"/>
      <c r="Q64" s="227"/>
      <c r="R64" s="227"/>
      <c r="S64" s="227"/>
      <c r="T64" s="227"/>
      <c r="U64" s="227"/>
      <c r="V64" s="227"/>
    </row>
    <row r="65" spans="1:22">
      <c r="A65" s="227"/>
      <c r="B65" s="227"/>
      <c r="C65" s="244"/>
      <c r="D65" s="452" t="s">
        <v>69</v>
      </c>
      <c r="E65" s="467">
        <f>'Gas Engines'!F60</f>
        <v>3.7260349020000003E-3</v>
      </c>
      <c r="F65" s="470">
        <v>10</v>
      </c>
      <c r="G65" s="85" t="str">
        <f t="shared" si="5"/>
        <v>No</v>
      </c>
      <c r="H65" s="417"/>
      <c r="I65" s="227"/>
      <c r="J65" s="227"/>
      <c r="K65" s="227"/>
      <c r="L65" s="227"/>
      <c r="M65" s="227"/>
      <c r="N65" s="227"/>
      <c r="O65" s="227"/>
      <c r="P65" s="227"/>
      <c r="Q65" s="227"/>
      <c r="R65" s="227"/>
      <c r="S65" s="227"/>
      <c r="T65" s="227"/>
      <c r="U65" s="227"/>
      <c r="V65" s="227"/>
    </row>
    <row r="66" spans="1:22">
      <c r="A66" s="227"/>
      <c r="B66" s="227"/>
      <c r="C66" s="244"/>
      <c r="D66" s="452" t="s">
        <v>40</v>
      </c>
      <c r="E66" s="467">
        <f>'Gas Engines'!F61+Boilers!G49+'1750 kW HAP Emissions'!F35+'2000 kW HAP Emissions'!F35</f>
        <v>4.4452173218188245</v>
      </c>
      <c r="F66" s="470">
        <v>10</v>
      </c>
      <c r="G66" s="85" t="str">
        <f t="shared" si="5"/>
        <v>No</v>
      </c>
      <c r="H66" s="417"/>
      <c r="I66" s="227"/>
      <c r="J66" s="227"/>
      <c r="K66" s="227"/>
      <c r="L66" s="227"/>
      <c r="M66" s="227"/>
      <c r="N66" s="227"/>
      <c r="O66" s="227"/>
      <c r="P66" s="227"/>
      <c r="Q66" s="227"/>
      <c r="R66" s="227"/>
      <c r="S66" s="227"/>
      <c r="T66" s="227"/>
      <c r="U66" s="227"/>
      <c r="V66" s="227"/>
    </row>
    <row r="67" spans="1:22">
      <c r="A67" s="227"/>
      <c r="B67" s="227"/>
      <c r="C67" s="244"/>
      <c r="D67" s="452" t="s">
        <v>70</v>
      </c>
      <c r="E67" s="467">
        <f>'Gas Engines'!F62</f>
        <v>0.21027285000000004</v>
      </c>
      <c r="F67" s="470">
        <v>10</v>
      </c>
      <c r="G67" s="85" t="str">
        <f t="shared" si="5"/>
        <v>No</v>
      </c>
      <c r="H67" s="417"/>
      <c r="I67" s="227"/>
      <c r="J67" s="227"/>
      <c r="K67" s="227"/>
      <c r="L67" s="227"/>
      <c r="M67" s="227"/>
      <c r="N67" s="227"/>
      <c r="O67" s="227"/>
      <c r="P67" s="227"/>
      <c r="Q67" s="227"/>
      <c r="R67" s="227"/>
      <c r="S67" s="227"/>
      <c r="T67" s="227"/>
      <c r="U67" s="227"/>
      <c r="V67" s="227"/>
    </row>
    <row r="68" spans="1:22" s="372" customFormat="1">
      <c r="A68" s="227"/>
      <c r="B68" s="227"/>
      <c r="C68" s="497"/>
      <c r="D68" s="452" t="s">
        <v>71</v>
      </c>
      <c r="E68" s="467">
        <f>'Gas Engines'!F63</f>
        <v>1.6821828000000002E-3</v>
      </c>
      <c r="F68" s="470">
        <v>10</v>
      </c>
      <c r="G68" s="85" t="str">
        <f t="shared" si="5"/>
        <v>No</v>
      </c>
      <c r="H68" s="417"/>
      <c r="I68" s="227"/>
      <c r="J68" s="227"/>
      <c r="K68" s="245"/>
      <c r="L68" s="245"/>
      <c r="M68" s="245"/>
      <c r="N68" s="245"/>
      <c r="O68" s="227"/>
      <c r="P68" s="227"/>
      <c r="Q68" s="227"/>
      <c r="R68" s="227"/>
      <c r="S68" s="227"/>
      <c r="T68" s="227"/>
      <c r="U68" s="227"/>
      <c r="V68" s="227"/>
    </row>
    <row r="69" spans="1:22">
      <c r="A69" s="227"/>
      <c r="B69" s="417"/>
      <c r="C69" s="245"/>
      <c r="D69" s="452" t="s">
        <v>72</v>
      </c>
      <c r="E69" s="467">
        <f>Boilers!G51+'1750 kW HAP Emissions'!F38+'2000 kW HAP Emissions'!F38+'Gas Engines'!F64</f>
        <v>6.5262566654117667E-3</v>
      </c>
      <c r="F69" s="470">
        <v>10</v>
      </c>
      <c r="G69" s="85" t="str">
        <f t="shared" si="5"/>
        <v>No</v>
      </c>
      <c r="H69" s="497"/>
      <c r="I69" s="244"/>
      <c r="J69" s="245"/>
      <c r="K69" s="227"/>
      <c r="L69" s="227"/>
      <c r="M69" s="227"/>
      <c r="N69" s="227"/>
      <c r="O69" s="245"/>
      <c r="P69" s="245"/>
      <c r="Q69" s="245"/>
      <c r="R69" s="245"/>
      <c r="S69" s="245"/>
      <c r="T69" s="245"/>
      <c r="U69" s="245"/>
      <c r="V69" s="227"/>
    </row>
    <row r="70" spans="1:22" s="372" customFormat="1">
      <c r="A70" s="227"/>
      <c r="B70" s="417"/>
      <c r="C70" s="227"/>
      <c r="D70" s="452" t="s">
        <v>41</v>
      </c>
      <c r="E70" s="467">
        <f>'Gas Engines'!F65+Boilers!G50</f>
        <v>0.1920502748117647</v>
      </c>
      <c r="F70" s="470">
        <v>10</v>
      </c>
      <c r="G70" s="85" t="str">
        <f t="shared" si="5"/>
        <v>No</v>
      </c>
      <c r="H70" s="497"/>
      <c r="I70" s="227"/>
      <c r="J70" s="227"/>
      <c r="K70" s="245"/>
      <c r="L70" s="245"/>
      <c r="M70" s="245"/>
      <c r="N70" s="245"/>
      <c r="O70" s="245"/>
      <c r="P70" s="245"/>
      <c r="Q70" s="227"/>
      <c r="R70" s="227"/>
      <c r="S70" s="227"/>
      <c r="T70" s="227"/>
      <c r="U70" s="227"/>
      <c r="V70" s="227"/>
    </row>
    <row r="71" spans="1:22" s="372" customFormat="1">
      <c r="A71" s="227"/>
      <c r="B71" s="417"/>
      <c r="C71" s="497"/>
      <c r="D71" s="452" t="s">
        <v>74</v>
      </c>
      <c r="E71" s="467">
        <f>'Gas Engines'!F66</f>
        <v>2.01861936E-3</v>
      </c>
      <c r="F71" s="470">
        <v>10</v>
      </c>
      <c r="G71" s="85" t="str">
        <f t="shared" si="5"/>
        <v>No</v>
      </c>
      <c r="H71" s="417"/>
      <c r="I71" s="227"/>
      <c r="J71" s="227"/>
      <c r="K71" s="227"/>
      <c r="L71" s="227"/>
      <c r="M71" s="227"/>
      <c r="N71" s="227"/>
      <c r="O71" s="227"/>
      <c r="P71" s="227"/>
      <c r="Q71" s="227"/>
      <c r="R71" s="227"/>
      <c r="S71" s="227"/>
      <c r="T71" s="227"/>
      <c r="U71" s="227"/>
      <c r="V71" s="227"/>
    </row>
    <row r="72" spans="1:22">
      <c r="A72" s="227"/>
      <c r="B72" s="417"/>
      <c r="C72" s="227"/>
      <c r="D72" s="452" t="s">
        <v>75</v>
      </c>
      <c r="E72" s="467">
        <f>'Gas Engines'!F67</f>
        <v>1.9849757040000002E-3</v>
      </c>
      <c r="F72" s="470">
        <v>10</v>
      </c>
      <c r="G72" s="85" t="str">
        <f t="shared" si="5"/>
        <v>No</v>
      </c>
      <c r="H72" s="417"/>
      <c r="I72" s="227"/>
      <c r="J72" s="227"/>
      <c r="K72" s="227"/>
      <c r="L72" s="227"/>
      <c r="M72" s="227"/>
      <c r="N72" s="227"/>
      <c r="O72" s="227"/>
      <c r="P72" s="227"/>
      <c r="Q72" s="227"/>
      <c r="R72" s="227"/>
      <c r="S72" s="227"/>
      <c r="T72" s="227"/>
      <c r="U72" s="227"/>
      <c r="V72" s="227"/>
    </row>
    <row r="73" spans="1:22">
      <c r="A73" s="227"/>
      <c r="B73" s="417"/>
      <c r="C73" s="227"/>
      <c r="D73" s="452" t="s">
        <v>79</v>
      </c>
      <c r="E73" s="467">
        <f>'Gas Engines'!F68</f>
        <v>2.0859066720000004E-4</v>
      </c>
      <c r="F73" s="470">
        <v>10</v>
      </c>
      <c r="G73" s="85" t="str">
        <f t="shared" si="5"/>
        <v>No</v>
      </c>
      <c r="H73" s="417"/>
      <c r="I73" s="227"/>
      <c r="J73" s="227"/>
      <c r="K73" s="227"/>
      <c r="L73" s="227"/>
      <c r="M73" s="227"/>
      <c r="N73" s="227"/>
      <c r="O73" s="227"/>
      <c r="P73" s="227"/>
      <c r="Q73" s="227"/>
      <c r="R73" s="227"/>
      <c r="S73" s="227"/>
      <c r="T73" s="227"/>
      <c r="U73" s="227"/>
      <c r="V73" s="227"/>
    </row>
    <row r="74" spans="1:22">
      <c r="A74" s="227"/>
      <c r="B74" s="417"/>
      <c r="C74" s="227"/>
      <c r="D74" s="452" t="s">
        <v>51</v>
      </c>
      <c r="E74" s="467">
        <f>'Gas Engines'!F69+Boilers!G71+'1750 kW HAP Emissions'!F33+'2000 kW HAP Emissions'!F33</f>
        <v>3.5011102320000008E-2</v>
      </c>
      <c r="F74" s="470">
        <v>10</v>
      </c>
      <c r="G74" s="85" t="str">
        <f t="shared" si="5"/>
        <v>No</v>
      </c>
      <c r="H74" s="417"/>
      <c r="I74" s="227"/>
      <c r="J74" s="227"/>
      <c r="K74" s="227"/>
      <c r="L74" s="227"/>
      <c r="M74" s="227"/>
      <c r="N74" s="227"/>
      <c r="O74" s="227"/>
      <c r="P74" s="227"/>
      <c r="Q74" s="227"/>
      <c r="R74" s="227"/>
      <c r="S74" s="227"/>
      <c r="T74" s="227"/>
      <c r="U74" s="227"/>
      <c r="V74" s="227"/>
    </row>
    <row r="75" spans="1:22">
      <c r="A75" s="227"/>
      <c r="B75" s="417"/>
      <c r="C75" s="227"/>
      <c r="D75" s="452" t="s">
        <v>76</v>
      </c>
      <c r="E75" s="467">
        <f>'Gas Engines'!F70</f>
        <v>1.2532261860000002E-3</v>
      </c>
      <c r="F75" s="470">
        <v>10</v>
      </c>
      <c r="G75" s="85" t="str">
        <f t="shared" si="5"/>
        <v>No</v>
      </c>
      <c r="H75" s="417"/>
      <c r="I75" s="227"/>
      <c r="J75" s="227"/>
      <c r="K75" s="227"/>
      <c r="L75" s="227"/>
      <c r="M75" s="227"/>
      <c r="N75" s="227"/>
      <c r="O75" s="227"/>
      <c r="P75" s="227"/>
      <c r="Q75" s="227"/>
      <c r="R75" s="227"/>
      <c r="S75" s="227"/>
      <c r="T75" s="227"/>
      <c r="U75" s="227"/>
      <c r="V75" s="227"/>
    </row>
    <row r="76" spans="1:22">
      <c r="A76" s="227"/>
      <c r="B76" s="417"/>
      <c r="C76" s="227"/>
      <c r="D76" s="452" t="s">
        <v>77</v>
      </c>
      <c r="E76" s="467">
        <f>'Gas Engines'!F71+'1750 kW HAP Emissions'!F34+'2000 kW HAP Emissions'!F34</f>
        <v>1.582510296E-2</v>
      </c>
      <c r="F76" s="470">
        <v>10</v>
      </c>
      <c r="G76" s="85" t="str">
        <f t="shared" si="5"/>
        <v>No</v>
      </c>
      <c r="H76" s="417"/>
      <c r="I76" s="227"/>
      <c r="J76" s="227"/>
      <c r="K76" s="227"/>
      <c r="L76" s="227"/>
      <c r="M76" s="227"/>
      <c r="N76" s="227"/>
      <c r="O76" s="227"/>
      <c r="P76" s="227"/>
      <c r="Q76" s="227"/>
      <c r="R76" s="227"/>
      <c r="S76" s="227"/>
      <c r="T76" s="227"/>
      <c r="U76" s="227"/>
      <c r="V76" s="227"/>
    </row>
    <row r="77" spans="1:22" ht="15.75">
      <c r="A77" s="227"/>
      <c r="B77" s="417"/>
      <c r="C77" s="227"/>
      <c r="D77" s="452" t="s">
        <v>316</v>
      </c>
      <c r="E77" s="467">
        <f>'Gas Engines'!F72+Boilers!G52+'1750 kW HAP Emissions'!F39+'2000 kW HAP Emissions'!F39</f>
        <v>8.7913925264611788E-3</v>
      </c>
      <c r="F77" s="470">
        <v>10</v>
      </c>
      <c r="G77" s="85" t="str">
        <f t="shared" si="5"/>
        <v>No</v>
      </c>
      <c r="H77" s="417"/>
      <c r="I77" s="225"/>
      <c r="J77" s="225"/>
      <c r="K77" s="227"/>
      <c r="L77" s="227"/>
      <c r="M77" s="227"/>
      <c r="N77" s="227"/>
      <c r="O77" s="227"/>
      <c r="P77" s="227"/>
      <c r="Q77" s="227"/>
      <c r="R77" s="227"/>
      <c r="S77" s="227"/>
      <c r="T77" s="227"/>
      <c r="U77" s="227"/>
      <c r="V77" s="227"/>
    </row>
    <row r="78" spans="1:22">
      <c r="A78" s="227"/>
      <c r="B78" s="417"/>
      <c r="C78" s="227"/>
      <c r="D78" s="452" t="s">
        <v>52</v>
      </c>
      <c r="E78" s="467">
        <f>Boilers!G72</f>
        <v>2.7413647058823531E-5</v>
      </c>
      <c r="F78" s="470">
        <v>10</v>
      </c>
      <c r="G78" s="85" t="str">
        <f t="shared" si="5"/>
        <v>No</v>
      </c>
      <c r="H78" s="583"/>
      <c r="I78" s="225"/>
      <c r="J78" s="225"/>
      <c r="K78" s="225"/>
      <c r="L78" s="227"/>
      <c r="M78" s="227"/>
      <c r="N78" s="227"/>
      <c r="O78" s="227"/>
      <c r="P78" s="227"/>
      <c r="Q78" s="227"/>
      <c r="R78" s="227"/>
      <c r="S78" s="227"/>
      <c r="T78" s="227"/>
      <c r="U78" s="227"/>
      <c r="V78" s="227"/>
    </row>
    <row r="79" spans="1:22">
      <c r="A79" s="227"/>
      <c r="B79" s="417"/>
      <c r="C79" s="227"/>
      <c r="D79" s="452" t="s">
        <v>182</v>
      </c>
      <c r="E79" s="467">
        <f>Boilers!G73+'1750 kW HAP Emissions'!F40+'2000 kW HAP Emissions'!F40</f>
        <v>1.887555882352941E-5</v>
      </c>
      <c r="F79" s="470">
        <v>10</v>
      </c>
      <c r="G79" s="85" t="str">
        <f t="shared" si="5"/>
        <v>No</v>
      </c>
      <c r="H79" s="583"/>
      <c r="I79" s="225"/>
      <c r="J79" s="225"/>
      <c r="K79" s="225"/>
      <c r="L79" s="227"/>
      <c r="M79" s="227"/>
      <c r="N79" s="227"/>
      <c r="O79" s="227"/>
      <c r="P79" s="227"/>
      <c r="Q79" s="227"/>
      <c r="R79" s="227"/>
      <c r="S79" s="227"/>
      <c r="T79" s="227"/>
      <c r="U79" s="227"/>
      <c r="V79" s="227"/>
    </row>
    <row r="80" spans="1:22">
      <c r="A80" s="227"/>
      <c r="B80" s="417"/>
      <c r="C80" s="227"/>
      <c r="D80" s="452" t="s">
        <v>184</v>
      </c>
      <c r="E80" s="467">
        <f>Boilers!G74+'1750 kW HAP Emissions'!F41+'2000 kW HAP Emissions'!F41</f>
        <v>5.3109275294117644E-6</v>
      </c>
      <c r="F80" s="470">
        <v>10</v>
      </c>
      <c r="G80" s="85" t="str">
        <f t="shared" si="5"/>
        <v>No</v>
      </c>
      <c r="H80" s="583"/>
      <c r="I80" s="225"/>
      <c r="J80" s="225"/>
      <c r="K80" s="225"/>
      <c r="L80" s="227"/>
      <c r="M80" s="227"/>
      <c r="N80" s="227"/>
      <c r="O80" s="227"/>
      <c r="P80" s="227"/>
      <c r="Q80" s="227"/>
      <c r="R80" s="227"/>
      <c r="S80" s="227"/>
      <c r="T80" s="227"/>
      <c r="U80" s="227"/>
      <c r="V80" s="227"/>
    </row>
    <row r="81" spans="1:22">
      <c r="A81" s="227"/>
      <c r="B81" s="417"/>
      <c r="C81" s="227"/>
      <c r="D81" s="452" t="s">
        <v>185</v>
      </c>
      <c r="E81" s="467">
        <f>Boilers!G75+'1750 kW HAP Emissions'!F42+'2000 kW HAP Emissions'!F42</f>
        <v>7.9852623529411758E-5</v>
      </c>
      <c r="F81" s="470">
        <v>10</v>
      </c>
      <c r="G81" s="85" t="str">
        <f t="shared" si="5"/>
        <v>No</v>
      </c>
      <c r="H81" s="583"/>
      <c r="I81" s="225"/>
      <c r="J81" s="225"/>
      <c r="K81" s="225"/>
      <c r="L81" s="227"/>
      <c r="M81" s="227"/>
      <c r="N81" s="227"/>
      <c r="O81" s="227"/>
      <c r="P81" s="227"/>
      <c r="Q81" s="227"/>
      <c r="R81" s="227"/>
      <c r="S81" s="227"/>
      <c r="T81" s="227"/>
      <c r="U81" s="227"/>
      <c r="V81" s="227"/>
    </row>
    <row r="82" spans="1:22">
      <c r="A82" s="227"/>
      <c r="B82" s="417"/>
      <c r="C82" s="227"/>
      <c r="D82" s="452" t="s">
        <v>186</v>
      </c>
      <c r="E82" s="467">
        <f>Boilers!G76+'1750 kW HAP Emissions'!F43+'2000 kW HAP Emissions'!F43</f>
        <v>1.6516521176470589E-4</v>
      </c>
      <c r="F82" s="470">
        <v>10</v>
      </c>
      <c r="G82" s="85" t="str">
        <f t="shared" si="5"/>
        <v>No</v>
      </c>
      <c r="H82" s="583"/>
      <c r="I82" s="225"/>
      <c r="J82" s="225"/>
      <c r="K82" s="227"/>
      <c r="L82" s="227"/>
      <c r="M82" s="227"/>
      <c r="N82" s="227"/>
      <c r="O82" s="227"/>
      <c r="P82" s="227"/>
      <c r="Q82" s="227"/>
      <c r="R82" s="227"/>
      <c r="S82" s="227"/>
      <c r="T82" s="227"/>
      <c r="U82" s="227"/>
      <c r="V82" s="227"/>
    </row>
    <row r="83" spans="1:22">
      <c r="A83" s="227"/>
      <c r="B83" s="417"/>
      <c r="C83" s="227"/>
      <c r="D83" s="452" t="s">
        <v>187</v>
      </c>
      <c r="E83" s="467">
        <f>Boilers!G77</f>
        <v>4.6054927058823528E-6</v>
      </c>
      <c r="F83" s="470">
        <v>10</v>
      </c>
      <c r="G83" s="85" t="str">
        <f t="shared" si="5"/>
        <v>No</v>
      </c>
      <c r="H83" s="583"/>
      <c r="I83" s="227"/>
      <c r="J83" s="227"/>
      <c r="K83" s="227"/>
      <c r="L83" s="227"/>
      <c r="M83" s="227"/>
      <c r="N83" s="227"/>
      <c r="O83" s="227"/>
      <c r="P83" s="227"/>
      <c r="Q83" s="227"/>
      <c r="R83" s="227"/>
      <c r="S83" s="227"/>
      <c r="T83" s="227"/>
      <c r="U83" s="227"/>
      <c r="V83" s="227"/>
    </row>
    <row r="84" spans="1:22">
      <c r="A84" s="227"/>
      <c r="B84" s="417"/>
      <c r="C84" s="497"/>
      <c r="D84" s="452" t="s">
        <v>188</v>
      </c>
      <c r="E84" s="467">
        <f>Boilers!G78+'1750 kW HAP Emissions'!F44+'2000 kW HAP Emissions'!F44</f>
        <v>4.0376971764705882E-5</v>
      </c>
      <c r="F84" s="470">
        <v>10</v>
      </c>
      <c r="G84" s="85" t="str">
        <f t="shared" si="5"/>
        <v>No</v>
      </c>
      <c r="H84" s="497"/>
      <c r="I84" s="227"/>
      <c r="J84" s="227"/>
      <c r="K84" s="227"/>
      <c r="L84" s="227"/>
      <c r="M84" s="227"/>
      <c r="N84" s="227"/>
      <c r="O84" s="227"/>
      <c r="P84" s="227"/>
      <c r="Q84" s="227"/>
      <c r="R84" s="227"/>
      <c r="S84" s="227"/>
      <c r="T84" s="227"/>
      <c r="U84" s="227"/>
      <c r="V84" s="227"/>
    </row>
    <row r="85" spans="1:22">
      <c r="A85" s="227"/>
      <c r="B85" s="417"/>
      <c r="C85" s="245"/>
      <c r="D85" s="452" t="s">
        <v>189</v>
      </c>
      <c r="E85" s="467">
        <f>Boilers!G79+'1750 kW HAP Emissions'!F45+'2000 kW HAP Emissions'!F45</f>
        <v>5.1479096470588224E-5</v>
      </c>
      <c r="F85" s="470">
        <v>10</v>
      </c>
      <c r="G85" s="85" t="str">
        <f t="shared" si="5"/>
        <v>No</v>
      </c>
      <c r="H85" s="417"/>
      <c r="I85" s="227"/>
      <c r="J85" s="227"/>
      <c r="K85" s="245"/>
      <c r="L85" s="245"/>
      <c r="M85" s="245"/>
      <c r="N85" s="245"/>
      <c r="O85" s="227"/>
      <c r="P85" s="227"/>
      <c r="Q85" s="227"/>
      <c r="R85" s="227"/>
      <c r="S85" s="227"/>
      <c r="T85" s="227"/>
      <c r="U85" s="227"/>
      <c r="V85" s="227"/>
    </row>
    <row r="86" spans="1:22" s="372" customFormat="1">
      <c r="A86" s="227"/>
      <c r="B86" s="417"/>
      <c r="C86" s="245"/>
      <c r="D86" s="452" t="s">
        <v>190</v>
      </c>
      <c r="E86" s="467">
        <f>Boilers!G80+'1750 kW HAP Emissions'!F46+'2000 kW HAP Emissions'!F46</f>
        <v>4.2968011764705875E-4</v>
      </c>
      <c r="F86" s="470">
        <v>10</v>
      </c>
      <c r="G86" s="85" t="str">
        <f t="shared" si="5"/>
        <v>No</v>
      </c>
      <c r="H86" s="417"/>
      <c r="I86" s="245"/>
      <c r="J86" s="245"/>
      <c r="K86" s="245"/>
      <c r="L86" s="245"/>
      <c r="M86" s="245"/>
      <c r="N86" s="245"/>
      <c r="O86" s="245"/>
      <c r="P86" s="245"/>
      <c r="Q86" s="245"/>
      <c r="R86" s="245"/>
      <c r="S86" s="245"/>
      <c r="T86" s="245"/>
      <c r="U86" s="245"/>
      <c r="V86" s="227"/>
    </row>
    <row r="87" spans="1:22" ht="15.75" thickBot="1">
      <c r="A87" s="227"/>
      <c r="B87" s="417"/>
      <c r="C87" s="497"/>
      <c r="D87" s="453" t="s">
        <v>191</v>
      </c>
      <c r="E87" s="468">
        <f>Boilers!G81</f>
        <v>1.3158550588235295E-6</v>
      </c>
      <c r="F87" s="471">
        <v>10</v>
      </c>
      <c r="G87" s="472" t="str">
        <f t="shared" si="5"/>
        <v>No</v>
      </c>
      <c r="H87" s="497"/>
      <c r="I87" s="244"/>
      <c r="J87" s="245"/>
      <c r="K87" s="227"/>
      <c r="L87" s="227"/>
      <c r="M87" s="227"/>
      <c r="N87" s="227"/>
      <c r="O87" s="245"/>
      <c r="P87" s="245"/>
      <c r="Q87" s="245"/>
      <c r="R87" s="245"/>
      <c r="S87" s="245"/>
      <c r="T87" s="245"/>
      <c r="U87" s="245"/>
      <c r="V87" s="227"/>
    </row>
    <row r="88" spans="1:22" ht="15.75" thickBot="1">
      <c r="A88" s="227"/>
      <c r="B88" s="417"/>
      <c r="C88" s="227"/>
      <c r="D88" s="517" t="s">
        <v>296</v>
      </c>
      <c r="E88" s="518">
        <f>SUM(E52:E87)</f>
        <v>6.1771334025586055</v>
      </c>
      <c r="F88" s="519">
        <v>25</v>
      </c>
      <c r="G88" s="520" t="str">
        <f t="shared" si="5"/>
        <v>No</v>
      </c>
      <c r="H88" s="417"/>
      <c r="I88" s="227"/>
      <c r="J88" s="227"/>
      <c r="K88" s="227"/>
      <c r="L88" s="227"/>
      <c r="M88" s="227"/>
      <c r="N88" s="227"/>
      <c r="O88" s="227"/>
      <c r="P88" s="227"/>
      <c r="Q88" s="227"/>
      <c r="R88" s="227"/>
      <c r="S88" s="227"/>
      <c r="T88" s="227"/>
      <c r="U88" s="227"/>
      <c r="V88" s="227"/>
    </row>
    <row r="89" spans="1:22" ht="15.75" thickBot="1">
      <c r="A89" s="227"/>
      <c r="B89" s="417"/>
      <c r="C89" s="426"/>
      <c r="D89" s="575"/>
      <c r="E89" s="575"/>
      <c r="F89" s="575"/>
      <c r="G89" s="575"/>
      <c r="H89" s="417"/>
      <c r="I89" s="227"/>
      <c r="J89" s="227"/>
      <c r="K89" s="227"/>
      <c r="L89" s="227"/>
      <c r="M89" s="227"/>
      <c r="N89" s="227"/>
      <c r="O89" s="227"/>
      <c r="P89" s="227"/>
      <c r="Q89" s="227"/>
      <c r="R89" s="227"/>
      <c r="S89" s="227"/>
      <c r="T89" s="227"/>
      <c r="U89" s="227"/>
      <c r="V89" s="227"/>
    </row>
    <row r="90" spans="1:22">
      <c r="A90" s="227"/>
      <c r="B90" s="227"/>
      <c r="C90" s="227"/>
      <c r="D90" s="245"/>
      <c r="E90" s="663"/>
      <c r="F90" s="245"/>
      <c r="G90" s="245"/>
      <c r="H90" s="412"/>
      <c r="I90" s="227"/>
      <c r="J90" s="227"/>
      <c r="K90" s="245"/>
      <c r="L90" s="245"/>
      <c r="M90" s="245"/>
      <c r="N90" s="245"/>
      <c r="O90" s="227"/>
      <c r="P90" s="227"/>
      <c r="Q90" s="227"/>
      <c r="R90" s="227"/>
      <c r="S90" s="227"/>
      <c r="T90" s="227"/>
      <c r="U90" s="227"/>
      <c r="V90" s="227"/>
    </row>
    <row r="91" spans="1:22">
      <c r="A91" s="227"/>
      <c r="B91" s="227"/>
      <c r="C91" s="227"/>
      <c r="D91" s="407" t="s">
        <v>320</v>
      </c>
      <c r="E91" s="408"/>
      <c r="F91" s="408"/>
      <c r="G91" s="408"/>
      <c r="H91" s="408"/>
      <c r="I91" s="408"/>
      <c r="J91" s="408"/>
      <c r="K91" s="408"/>
      <c r="L91" s="408"/>
      <c r="M91" s="408"/>
      <c r="N91" s="227"/>
      <c r="O91" s="408"/>
      <c r="P91" s="408"/>
      <c r="Q91" s="408"/>
      <c r="R91" s="408"/>
      <c r="S91" s="408"/>
      <c r="T91" s="408"/>
      <c r="U91" s="408"/>
      <c r="V91" s="227"/>
    </row>
    <row r="92" spans="1:22">
      <c r="A92" s="227"/>
      <c r="B92" s="227"/>
      <c r="C92" s="434"/>
      <c r="D92" s="241" t="s">
        <v>321</v>
      </c>
      <c r="E92" s="227"/>
      <c r="F92" s="227"/>
      <c r="G92" s="227"/>
      <c r="H92" s="227"/>
      <c r="I92" s="227"/>
      <c r="J92" s="227"/>
      <c r="K92" s="227"/>
      <c r="L92" s="227"/>
      <c r="M92" s="227"/>
      <c r="N92" s="434"/>
      <c r="O92" s="227"/>
      <c r="P92" s="227"/>
      <c r="Q92" s="227"/>
      <c r="R92" s="227"/>
      <c r="S92" s="227"/>
      <c r="T92" s="227"/>
      <c r="U92" s="227"/>
      <c r="V92" s="227"/>
    </row>
    <row r="93" spans="1:22">
      <c r="A93" s="227"/>
      <c r="B93" s="227"/>
      <c r="C93" s="227"/>
      <c r="D93" s="241" t="s">
        <v>521</v>
      </c>
      <c r="E93" s="227"/>
      <c r="F93" s="227"/>
      <c r="G93" s="227"/>
      <c r="H93" s="227"/>
      <c r="I93" s="227"/>
      <c r="J93" s="227"/>
      <c r="K93" s="227"/>
      <c r="L93" s="227"/>
      <c r="M93" s="227"/>
      <c r="N93" s="227"/>
      <c r="O93" s="227"/>
      <c r="P93" s="227"/>
      <c r="Q93" s="227"/>
      <c r="R93" s="227"/>
      <c r="S93" s="227"/>
      <c r="T93" s="227"/>
      <c r="U93" s="227"/>
      <c r="V93" s="227"/>
    </row>
    <row r="94" spans="1:22">
      <c r="A94" s="227"/>
      <c r="B94" s="227"/>
      <c r="C94" s="227"/>
      <c r="D94" s="241" t="s">
        <v>522</v>
      </c>
      <c r="E94" s="227"/>
      <c r="F94" s="227"/>
      <c r="G94" s="227"/>
      <c r="H94" s="227"/>
      <c r="I94" s="227"/>
      <c r="J94" s="227"/>
      <c r="K94" s="227"/>
      <c r="L94" s="227"/>
      <c r="M94" s="227"/>
      <c r="N94" s="227"/>
      <c r="O94" s="227"/>
      <c r="P94" s="227"/>
      <c r="Q94" s="227"/>
      <c r="R94" s="227"/>
      <c r="S94" s="227"/>
      <c r="T94" s="227"/>
      <c r="U94" s="227"/>
      <c r="V94" s="227"/>
    </row>
    <row r="95" spans="1:22">
      <c r="A95" s="227"/>
      <c r="B95" s="227"/>
      <c r="C95" s="227"/>
      <c r="D95" s="241" t="s">
        <v>322</v>
      </c>
      <c r="E95" s="227"/>
      <c r="F95" s="227"/>
      <c r="G95" s="227"/>
      <c r="H95" s="227"/>
      <c r="I95" s="227"/>
      <c r="J95" s="227"/>
      <c r="K95" s="227"/>
      <c r="L95" s="227"/>
      <c r="M95" s="227"/>
      <c r="N95" s="227"/>
      <c r="O95" s="227"/>
      <c r="P95" s="227"/>
      <c r="Q95" s="227"/>
      <c r="R95" s="227"/>
      <c r="S95" s="227"/>
      <c r="T95" s="227"/>
      <c r="U95" s="227"/>
      <c r="V95" s="227"/>
    </row>
    <row r="96" spans="1:22">
      <c r="A96" s="227"/>
      <c r="B96" s="227"/>
      <c r="C96" s="227"/>
      <c r="D96" s="241" t="s">
        <v>323</v>
      </c>
      <c r="E96" s="227"/>
      <c r="F96" s="227"/>
      <c r="G96" s="227"/>
      <c r="H96" s="227"/>
      <c r="I96" s="227"/>
      <c r="J96" s="227"/>
      <c r="K96" s="227"/>
      <c r="L96" s="227"/>
      <c r="M96" s="227"/>
      <c r="N96" s="227"/>
      <c r="O96" s="227"/>
      <c r="P96" s="227"/>
      <c r="Q96" s="227"/>
      <c r="R96" s="227"/>
      <c r="S96" s="227"/>
      <c r="T96" s="227"/>
      <c r="U96" s="227"/>
      <c r="V96" s="227"/>
    </row>
    <row r="97" spans="1:22">
      <c r="A97" s="227"/>
      <c r="B97" s="227"/>
      <c r="C97" s="227"/>
      <c r="D97" s="240" t="s">
        <v>523</v>
      </c>
      <c r="E97" s="227"/>
      <c r="F97" s="227"/>
      <c r="G97" s="227"/>
      <c r="H97" s="227"/>
      <c r="I97" s="227"/>
      <c r="J97" s="227"/>
      <c r="K97" s="227"/>
      <c r="L97" s="227"/>
      <c r="M97" s="227"/>
      <c r="N97" s="227"/>
      <c r="O97" s="227"/>
      <c r="P97" s="227"/>
      <c r="Q97" s="227"/>
      <c r="R97" s="227"/>
      <c r="S97" s="227"/>
      <c r="T97" s="227"/>
      <c r="U97" s="227"/>
      <c r="V97" s="227"/>
    </row>
    <row r="98" spans="1:22">
      <c r="A98" s="227"/>
      <c r="B98" s="227"/>
      <c r="C98" s="227"/>
      <c r="D98" s="240" t="s">
        <v>524</v>
      </c>
      <c r="E98" s="227"/>
      <c r="F98" s="227"/>
      <c r="G98" s="227"/>
      <c r="H98" s="227"/>
      <c r="I98" s="227"/>
      <c r="J98" s="227"/>
      <c r="K98" s="227"/>
      <c r="L98" s="227"/>
      <c r="M98" s="227"/>
      <c r="N98" s="227"/>
      <c r="O98" s="227"/>
      <c r="P98" s="227"/>
      <c r="Q98" s="227"/>
      <c r="R98" s="227"/>
      <c r="S98" s="227"/>
      <c r="T98" s="227"/>
      <c r="U98" s="227"/>
      <c r="V98" s="227"/>
    </row>
    <row r="99" spans="1:22" s="372" customFormat="1">
      <c r="A99" s="227"/>
      <c r="B99" s="227"/>
      <c r="C99" s="227"/>
      <c r="D99" s="240" t="s">
        <v>525</v>
      </c>
      <c r="E99" s="227"/>
      <c r="F99" s="227"/>
      <c r="G99" s="227"/>
      <c r="H99" s="227"/>
      <c r="I99" s="227"/>
      <c r="J99" s="227"/>
      <c r="K99" s="227"/>
      <c r="L99" s="227"/>
      <c r="M99" s="227"/>
      <c r="N99" s="227"/>
      <c r="O99" s="227"/>
      <c r="P99" s="227"/>
      <c r="Q99" s="227"/>
      <c r="R99" s="227"/>
      <c r="S99" s="227"/>
      <c r="T99" s="227"/>
      <c r="U99" s="227"/>
      <c r="V99" s="227"/>
    </row>
    <row r="100" spans="1:22">
      <c r="B100" s="227"/>
      <c r="C100" s="227"/>
      <c r="D100" s="512" t="s">
        <v>346</v>
      </c>
      <c r="E100" s="227"/>
      <c r="F100" s="225"/>
      <c r="G100" s="225"/>
      <c r="H100" s="227"/>
      <c r="I100" s="227"/>
      <c r="J100" s="227"/>
      <c r="K100" s="227"/>
      <c r="L100" s="227"/>
      <c r="M100" s="227"/>
      <c r="N100" s="227"/>
      <c r="O100" s="227"/>
      <c r="P100" s="227"/>
      <c r="Q100" s="227"/>
      <c r="R100" s="227"/>
      <c r="S100" s="227"/>
      <c r="T100" s="227"/>
      <c r="U100" s="227"/>
      <c r="V100" s="227"/>
    </row>
    <row r="101" spans="1:22">
      <c r="B101" s="227"/>
      <c r="C101" s="227"/>
      <c r="D101" s="512" t="s">
        <v>347</v>
      </c>
      <c r="E101" s="227"/>
      <c r="F101" s="225"/>
      <c r="G101" s="225"/>
      <c r="H101" s="227"/>
      <c r="I101" s="227"/>
      <c r="J101" s="227"/>
      <c r="K101" s="227"/>
      <c r="L101" s="227"/>
      <c r="M101" s="227"/>
      <c r="N101" s="227"/>
      <c r="O101" s="227"/>
      <c r="P101" s="227"/>
      <c r="Q101" s="227"/>
      <c r="R101" s="227"/>
      <c r="S101" s="227"/>
      <c r="T101" s="227"/>
      <c r="U101" s="227"/>
      <c r="V101" s="227"/>
    </row>
    <row r="102" spans="1:22">
      <c r="B102" s="227"/>
      <c r="C102" s="227"/>
      <c r="D102" s="513" t="s">
        <v>348</v>
      </c>
      <c r="E102" s="227"/>
      <c r="F102" s="225"/>
      <c r="G102" s="225"/>
      <c r="H102" s="227"/>
      <c r="I102" s="227"/>
      <c r="J102" s="227"/>
      <c r="K102" s="595"/>
      <c r="L102" s="595"/>
      <c r="M102" s="595"/>
      <c r="N102" s="595"/>
      <c r="O102" s="227"/>
      <c r="P102" s="227"/>
      <c r="Q102" s="227"/>
      <c r="R102" s="227"/>
      <c r="S102" s="227"/>
      <c r="T102" s="227"/>
      <c r="U102" s="227"/>
      <c r="V102" s="227"/>
    </row>
    <row r="103" spans="1:22">
      <c r="B103" s="227"/>
      <c r="C103" s="227"/>
      <c r="D103" s="513" t="s">
        <v>454</v>
      </c>
      <c r="E103" s="593"/>
      <c r="F103" s="594"/>
      <c r="G103" s="594"/>
      <c r="H103" s="595"/>
      <c r="I103" s="595"/>
      <c r="J103" s="595"/>
      <c r="K103" s="227"/>
      <c r="L103" s="227"/>
      <c r="M103" s="227"/>
      <c r="N103" s="227"/>
      <c r="O103" s="595"/>
      <c r="P103" s="595"/>
      <c r="Q103" s="595"/>
      <c r="R103" s="595"/>
      <c r="S103" s="227"/>
      <c r="T103" s="227"/>
      <c r="U103" s="227"/>
      <c r="V103" s="227"/>
    </row>
    <row r="104" spans="1:22">
      <c r="B104" s="227"/>
      <c r="C104" s="227"/>
      <c r="D104" s="512"/>
      <c r="E104" s="225"/>
      <c r="F104" s="225"/>
      <c r="G104" s="225"/>
      <c r="H104" s="227"/>
      <c r="I104" s="227"/>
      <c r="J104" s="227"/>
      <c r="O104" s="227"/>
      <c r="P104" s="227"/>
      <c r="Q104" s="227"/>
      <c r="R104" s="227"/>
      <c r="S104" s="227"/>
      <c r="T104" s="227"/>
      <c r="U104" s="227"/>
      <c r="V104" s="227"/>
    </row>
    <row r="105" spans="1:22">
      <c r="D105" s="351"/>
      <c r="E105" s="350"/>
      <c r="F105" s="350"/>
      <c r="G105" s="350"/>
    </row>
  </sheetData>
  <mergeCells count="18">
    <mergeCell ref="C7:H8"/>
    <mergeCell ref="J7:T8"/>
    <mergeCell ref="L19:N22"/>
    <mergeCell ref="K16:K18"/>
    <mergeCell ref="L16:L17"/>
    <mergeCell ref="O16:P16"/>
    <mergeCell ref="P17:P18"/>
    <mergeCell ref="K10:O10"/>
    <mergeCell ref="Q10:S10"/>
    <mergeCell ref="M16:N16"/>
    <mergeCell ref="K14:P15"/>
    <mergeCell ref="K26:N27"/>
    <mergeCell ref="D50:E50"/>
    <mergeCell ref="D10:G10"/>
    <mergeCell ref="F50:F51"/>
    <mergeCell ref="G50:G51"/>
    <mergeCell ref="D32:G32"/>
    <mergeCell ref="C29:H30"/>
  </mergeCells>
  <pageMargins left="0.7" right="0.7" top="0.75" bottom="0.75" header="0.3" footer="0.3"/>
  <pageSetup paperSize="256" scale="4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J71"/>
  <sheetViews>
    <sheetView showGridLines="0" view="pageBreakPreview" topLeftCell="A43" zoomScaleNormal="100" zoomScaleSheetLayoutView="100" workbookViewId="0">
      <selection activeCell="B2" sqref="B2"/>
    </sheetView>
  </sheetViews>
  <sheetFormatPr defaultColWidth="8.85546875" defaultRowHeight="12.75"/>
  <cols>
    <col min="1" max="1" width="1.7109375" style="247" customWidth="1"/>
    <col min="2" max="2" width="15.85546875" style="247" customWidth="1"/>
    <col min="3" max="3" width="12.7109375" style="247" customWidth="1"/>
    <col min="4" max="4" width="6.28515625" style="247" customWidth="1"/>
    <col min="5" max="9" width="10.7109375" style="247" customWidth="1"/>
    <col min="10" max="10" width="1.7109375" style="247" customWidth="1"/>
    <col min="11" max="16384" width="8.85546875" style="247"/>
  </cols>
  <sheetData>
    <row r="1" spans="2:10" s="89" customFormat="1" ht="18.75">
      <c r="B1" s="88" t="s">
        <v>196</v>
      </c>
      <c r="C1" s="88"/>
      <c r="D1" s="88"/>
    </row>
    <row r="2" spans="2:10" s="89" customFormat="1" ht="15">
      <c r="B2" s="90" t="s">
        <v>457</v>
      </c>
      <c r="C2" s="90"/>
      <c r="D2" s="90"/>
      <c r="E2" s="91"/>
      <c r="F2" s="91"/>
      <c r="G2" s="91"/>
      <c r="H2" s="91"/>
      <c r="I2" s="92"/>
    </row>
    <row r="3" spans="2:10" s="99" customFormat="1">
      <c r="B3" s="93"/>
      <c r="C3" s="94"/>
      <c r="D3" s="94"/>
      <c r="E3" s="94"/>
      <c r="F3" s="94"/>
      <c r="G3" s="94"/>
      <c r="H3" s="94"/>
      <c r="I3" s="94"/>
      <c r="J3" s="95"/>
    </row>
    <row r="4" spans="2:10" s="99" customFormat="1" ht="15" customHeight="1">
      <c r="B4" s="246" t="s">
        <v>447</v>
      </c>
      <c r="C4" s="101"/>
      <c r="D4" s="101"/>
      <c r="E4" s="101"/>
      <c r="F4" s="101"/>
      <c r="G4" s="101"/>
      <c r="H4" s="102"/>
      <c r="I4" s="102"/>
      <c r="J4" s="95"/>
    </row>
    <row r="5" spans="2:10" ht="15" customHeight="1">
      <c r="J5" s="248"/>
    </row>
    <row r="6" spans="2:10" ht="15" customHeight="1">
      <c r="B6" s="103" t="s">
        <v>80</v>
      </c>
      <c r="C6" s="104"/>
      <c r="D6" s="104"/>
      <c r="E6" s="104"/>
      <c r="F6" s="105"/>
      <c r="G6" s="106"/>
    </row>
    <row r="7" spans="2:10" ht="15" customHeight="1">
      <c r="B7" s="107" t="s">
        <v>81</v>
      </c>
      <c r="C7" s="89"/>
      <c r="D7" s="89"/>
      <c r="E7" s="108">
        <v>1</v>
      </c>
      <c r="F7" s="107"/>
      <c r="G7" s="109"/>
    </row>
    <row r="8" spans="2:10" ht="15" customHeight="1">
      <c r="B8" s="107" t="s">
        <v>82</v>
      </c>
      <c r="C8" s="89"/>
      <c r="D8" s="89"/>
      <c r="E8" s="110" t="s">
        <v>199</v>
      </c>
      <c r="F8" s="107"/>
      <c r="G8" s="109"/>
    </row>
    <row r="9" spans="2:10" ht="15" customHeight="1">
      <c r="B9" s="247" t="s">
        <v>200</v>
      </c>
      <c r="E9" s="306">
        <v>2682</v>
      </c>
      <c r="F9" s="247" t="s">
        <v>417</v>
      </c>
      <c r="G9" s="89"/>
    </row>
    <row r="10" spans="2:10" ht="15" customHeight="1">
      <c r="B10" s="247" t="s">
        <v>84</v>
      </c>
      <c r="E10" s="442">
        <f>E12*E11/10^6</f>
        <v>18.905999999999999</v>
      </c>
      <c r="F10" s="247" t="s">
        <v>201</v>
      </c>
    </row>
    <row r="11" spans="2:10" ht="15" customHeight="1">
      <c r="B11" s="247" t="s">
        <v>86</v>
      </c>
      <c r="E11" s="306">
        <v>137000</v>
      </c>
      <c r="F11" s="247" t="s">
        <v>202</v>
      </c>
    </row>
    <row r="12" spans="2:10" ht="15" customHeight="1">
      <c r="B12" s="247" t="s">
        <v>88</v>
      </c>
      <c r="E12" s="308">
        <v>138</v>
      </c>
      <c r="F12" s="247" t="s">
        <v>203</v>
      </c>
    </row>
    <row r="13" spans="2:10" ht="15" customHeight="1">
      <c r="B13" s="247" t="s">
        <v>16</v>
      </c>
      <c r="E13" s="247">
        <v>100</v>
      </c>
      <c r="F13" s="247" t="s">
        <v>89</v>
      </c>
    </row>
    <row r="14" spans="2:10" ht="15" customHeight="1">
      <c r="B14" s="247" t="s">
        <v>204</v>
      </c>
      <c r="E14" s="249">
        <v>7.05</v>
      </c>
      <c r="F14" s="247" t="s">
        <v>205</v>
      </c>
    </row>
    <row r="15" spans="2:10" ht="15" customHeight="1"/>
    <row r="16" spans="2:10" ht="15" customHeight="1">
      <c r="B16" s="248"/>
      <c r="C16" s="248"/>
      <c r="E16" s="251"/>
      <c r="G16" s="314"/>
    </row>
    <row r="17" spans="2:7" ht="15" customHeight="1" thickBot="1">
      <c r="B17" s="115"/>
      <c r="G17" s="314"/>
    </row>
    <row r="18" spans="2:7" ht="15" customHeight="1">
      <c r="B18" s="252" t="s">
        <v>35</v>
      </c>
      <c r="C18" s="315" t="s">
        <v>228</v>
      </c>
      <c r="D18" s="316"/>
      <c r="E18" s="316"/>
      <c r="F18" s="317"/>
      <c r="G18" s="314"/>
    </row>
    <row r="19" spans="2:7" ht="15" customHeight="1">
      <c r="B19" s="257"/>
      <c r="C19" s="318" t="s">
        <v>229</v>
      </c>
      <c r="D19" s="316"/>
      <c r="E19" s="316"/>
      <c r="F19" s="317"/>
      <c r="G19" s="314"/>
    </row>
    <row r="20" spans="2:7" ht="15" customHeight="1">
      <c r="B20" s="319" t="s">
        <v>182</v>
      </c>
      <c r="C20" s="320">
        <v>8.4999999999999999E-6</v>
      </c>
      <c r="E20" s="251"/>
      <c r="G20" s="314"/>
    </row>
    <row r="21" spans="2:7" ht="15" customHeight="1">
      <c r="B21" s="319" t="s">
        <v>184</v>
      </c>
      <c r="C21" s="320">
        <v>5.0000000000000004E-6</v>
      </c>
      <c r="E21" s="251"/>
      <c r="G21" s="314"/>
    </row>
    <row r="22" spans="2:7" ht="15" customHeight="1">
      <c r="B22" s="319" t="s">
        <v>185</v>
      </c>
      <c r="C22" s="320">
        <v>2.0999999999999999E-5</v>
      </c>
      <c r="E22" s="251"/>
      <c r="G22" s="314"/>
    </row>
    <row r="23" spans="2:7" ht="15" customHeight="1">
      <c r="B23" s="319" t="s">
        <v>186</v>
      </c>
      <c r="C23" s="320">
        <v>9.5000000000000005E-5</v>
      </c>
      <c r="E23" s="251"/>
      <c r="G23" s="314"/>
    </row>
    <row r="24" spans="2:7" ht="15" customHeight="1">
      <c r="B24" s="319" t="s">
        <v>188</v>
      </c>
      <c r="C24" s="320">
        <v>2.0999999999999999E-5</v>
      </c>
      <c r="E24" s="251"/>
      <c r="G24" s="314"/>
    </row>
    <row r="25" spans="2:7" ht="15" customHeight="1">
      <c r="B25" s="319" t="s">
        <v>189</v>
      </c>
      <c r="C25" s="320">
        <v>4.0000000000000003E-5</v>
      </c>
      <c r="E25" s="251"/>
      <c r="G25" s="314"/>
    </row>
    <row r="26" spans="2:7" ht="15" customHeight="1" thickBot="1">
      <c r="B26" s="321" t="s">
        <v>190</v>
      </c>
      <c r="C26" s="322">
        <v>3.3799999999999998E-4</v>
      </c>
      <c r="E26" s="251"/>
      <c r="G26" s="314"/>
    </row>
    <row r="27" spans="2:7" ht="15" customHeight="1">
      <c r="B27" s="248"/>
      <c r="C27" s="323"/>
      <c r="E27" s="251"/>
      <c r="G27" s="314"/>
    </row>
    <row r="28" spans="2:7" ht="15" customHeight="1">
      <c r="E28" s="251"/>
    </row>
    <row r="29" spans="2:7" ht="15" customHeight="1" thickBot="1">
      <c r="B29" s="115"/>
    </row>
    <row r="30" spans="2:7" ht="15" customHeight="1">
      <c r="B30" s="252" t="s">
        <v>35</v>
      </c>
      <c r="C30" s="253" t="s">
        <v>96</v>
      </c>
      <c r="D30" s="254"/>
      <c r="E30" s="255"/>
      <c r="F30" s="256" t="s">
        <v>141</v>
      </c>
    </row>
    <row r="31" spans="2:7" ht="15" customHeight="1" thickBot="1">
      <c r="B31" s="257"/>
      <c r="C31" s="324" t="s">
        <v>230</v>
      </c>
      <c r="D31" s="325" t="s">
        <v>37</v>
      </c>
      <c r="E31" s="326" t="s">
        <v>38</v>
      </c>
      <c r="F31" s="261" t="s">
        <v>143</v>
      </c>
    </row>
    <row r="32" spans="2:7" ht="15" customHeight="1">
      <c r="B32" s="327" t="s">
        <v>39</v>
      </c>
      <c r="C32" s="328">
        <v>7.76E-4</v>
      </c>
      <c r="D32" s="329" t="s">
        <v>214</v>
      </c>
      <c r="E32" s="330">
        <f>C32*E$10</f>
        <v>1.4671055999999998E-2</v>
      </c>
      <c r="F32" s="331">
        <f t="shared" ref="F32:F46" si="0">E32*E$13/2000*E$7</f>
        <v>7.3355279999999989E-4</v>
      </c>
    </row>
    <row r="33" spans="2:10" ht="15" customHeight="1">
      <c r="B33" s="332" t="s">
        <v>51</v>
      </c>
      <c r="C33" s="333">
        <v>2.81E-4</v>
      </c>
      <c r="D33" s="329" t="s">
        <v>214</v>
      </c>
      <c r="E33" s="334">
        <f>C33*E$10</f>
        <v>5.3125859999999994E-3</v>
      </c>
      <c r="F33" s="331">
        <f t="shared" si="0"/>
        <v>2.6562929999999997E-4</v>
      </c>
    </row>
    <row r="34" spans="2:10" ht="15" customHeight="1">
      <c r="B34" s="319" t="s">
        <v>231</v>
      </c>
      <c r="C34" s="333">
        <v>1.93E-4</v>
      </c>
      <c r="D34" s="329" t="s">
        <v>214</v>
      </c>
      <c r="E34" s="334">
        <f t="shared" ref="E34:E46" si="1">C34*E$10</f>
        <v>3.6488579999999996E-3</v>
      </c>
      <c r="F34" s="331">
        <f t="shared" si="0"/>
        <v>1.8244289999999998E-4</v>
      </c>
      <c r="J34" s="249"/>
    </row>
    <row r="35" spans="2:10" ht="15" customHeight="1">
      <c r="B35" s="335" t="s">
        <v>40</v>
      </c>
      <c r="C35" s="333">
        <v>7.8899999999999993E-5</v>
      </c>
      <c r="D35" s="329" t="s">
        <v>214</v>
      </c>
      <c r="E35" s="334">
        <f t="shared" si="1"/>
        <v>1.4916833999999999E-3</v>
      </c>
      <c r="F35" s="331">
        <f t="shared" si="0"/>
        <v>7.4584169999999988E-5</v>
      </c>
    </row>
    <row r="36" spans="2:10" ht="15" customHeight="1">
      <c r="B36" s="319" t="s">
        <v>61</v>
      </c>
      <c r="C36" s="333">
        <v>2.5199999999999999E-5</v>
      </c>
      <c r="D36" s="329" t="s">
        <v>214</v>
      </c>
      <c r="E36" s="334">
        <f t="shared" si="1"/>
        <v>4.7643119999999994E-4</v>
      </c>
      <c r="F36" s="331">
        <f t="shared" si="0"/>
        <v>2.382156E-5</v>
      </c>
    </row>
    <row r="37" spans="2:10" ht="15" customHeight="1">
      <c r="B37" s="319" t="s">
        <v>62</v>
      </c>
      <c r="C37" s="333">
        <v>7.8800000000000008E-6</v>
      </c>
      <c r="D37" s="329" t="s">
        <v>214</v>
      </c>
      <c r="E37" s="334">
        <f t="shared" si="1"/>
        <v>1.4897928E-4</v>
      </c>
      <c r="F37" s="331">
        <f t="shared" si="0"/>
        <v>7.4489640000000009E-6</v>
      </c>
    </row>
    <row r="38" spans="2:10" ht="15" customHeight="1">
      <c r="B38" s="319" t="s">
        <v>150</v>
      </c>
      <c r="C38" s="336">
        <v>1.2999999999999999E-4</v>
      </c>
      <c r="D38" s="337" t="s">
        <v>210</v>
      </c>
      <c r="E38" s="334">
        <f t="shared" si="1"/>
        <v>2.4577799999999997E-3</v>
      </c>
      <c r="F38" s="331">
        <f t="shared" si="0"/>
        <v>1.22889E-4</v>
      </c>
    </row>
    <row r="39" spans="2:10" ht="15" customHeight="1">
      <c r="B39" s="319" t="s">
        <v>232</v>
      </c>
      <c r="C39" s="336">
        <v>2.12E-4</v>
      </c>
      <c r="D39" s="337" t="s">
        <v>210</v>
      </c>
      <c r="E39" s="334">
        <f t="shared" si="1"/>
        <v>4.0080719999999997E-3</v>
      </c>
      <c r="F39" s="331">
        <f t="shared" si="0"/>
        <v>2.004036E-4</v>
      </c>
    </row>
    <row r="40" spans="2:10" ht="15" customHeight="1">
      <c r="B40" s="319" t="s">
        <v>182</v>
      </c>
      <c r="C40" s="336">
        <f t="shared" ref="C40:C46" si="2">(C20/100)/$E$11*$E$14*10^6</f>
        <v>4.3740875912408756E-6</v>
      </c>
      <c r="D40" s="337" t="s">
        <v>233</v>
      </c>
      <c r="E40" s="334">
        <f t="shared" si="1"/>
        <v>8.269649999999999E-5</v>
      </c>
      <c r="F40" s="331">
        <f t="shared" si="0"/>
        <v>4.134824999999999E-6</v>
      </c>
    </row>
    <row r="41" spans="2:10" ht="15" customHeight="1">
      <c r="B41" s="319" t="s">
        <v>184</v>
      </c>
      <c r="C41" s="336">
        <f t="shared" si="2"/>
        <v>2.5729927007299268E-6</v>
      </c>
      <c r="D41" s="337" t="s">
        <v>233</v>
      </c>
      <c r="E41" s="334">
        <f t="shared" si="1"/>
        <v>4.8644999999999992E-5</v>
      </c>
      <c r="F41" s="331">
        <f t="shared" si="0"/>
        <v>2.4322499999999995E-6</v>
      </c>
    </row>
    <row r="42" spans="2:10" ht="15" customHeight="1">
      <c r="B42" s="319" t="s">
        <v>185</v>
      </c>
      <c r="C42" s="336">
        <f t="shared" si="2"/>
        <v>1.0806569343065694E-5</v>
      </c>
      <c r="D42" s="337" t="s">
        <v>233</v>
      </c>
      <c r="E42" s="334">
        <f t="shared" si="1"/>
        <v>2.0430899999999998E-4</v>
      </c>
      <c r="F42" s="331">
        <f t="shared" si="0"/>
        <v>1.0215449999999999E-5</v>
      </c>
    </row>
    <row r="43" spans="2:10" ht="15" customHeight="1">
      <c r="B43" s="319" t="s">
        <v>186</v>
      </c>
      <c r="C43" s="336">
        <f t="shared" si="2"/>
        <v>4.8886861313868615E-5</v>
      </c>
      <c r="D43" s="337" t="s">
        <v>233</v>
      </c>
      <c r="E43" s="334">
        <f t="shared" si="1"/>
        <v>9.2425500000000002E-4</v>
      </c>
      <c r="F43" s="331">
        <f t="shared" si="0"/>
        <v>4.6212750000000002E-5</v>
      </c>
    </row>
    <row r="44" spans="2:10" ht="15" customHeight="1">
      <c r="B44" s="319" t="s">
        <v>188</v>
      </c>
      <c r="C44" s="336">
        <f t="shared" si="2"/>
        <v>1.0806569343065694E-5</v>
      </c>
      <c r="D44" s="337" t="s">
        <v>233</v>
      </c>
      <c r="E44" s="334">
        <f t="shared" si="1"/>
        <v>2.0430899999999998E-4</v>
      </c>
      <c r="F44" s="331">
        <f t="shared" si="0"/>
        <v>1.0215449999999999E-5</v>
      </c>
    </row>
    <row r="45" spans="2:10" ht="15" customHeight="1">
      <c r="B45" s="319" t="s">
        <v>189</v>
      </c>
      <c r="C45" s="336">
        <f t="shared" si="2"/>
        <v>2.0583941605839414E-5</v>
      </c>
      <c r="D45" s="337" t="s">
        <v>233</v>
      </c>
      <c r="E45" s="334">
        <f t="shared" si="1"/>
        <v>3.8915999999999994E-4</v>
      </c>
      <c r="F45" s="331">
        <f t="shared" si="0"/>
        <v>1.9457999999999996E-5</v>
      </c>
    </row>
    <row r="46" spans="2:10" ht="15" customHeight="1" thickBot="1">
      <c r="B46" s="338" t="s">
        <v>190</v>
      </c>
      <c r="C46" s="339">
        <f t="shared" si="2"/>
        <v>1.7393430656934304E-4</v>
      </c>
      <c r="D46" s="337" t="s">
        <v>233</v>
      </c>
      <c r="E46" s="340">
        <f t="shared" si="1"/>
        <v>3.2884019999999993E-3</v>
      </c>
      <c r="F46" s="341">
        <f t="shared" si="0"/>
        <v>1.6442009999999995E-4</v>
      </c>
    </row>
    <row r="47" spans="2:10" ht="15" customHeight="1" thickBot="1">
      <c r="B47" s="342"/>
      <c r="C47" s="343"/>
      <c r="D47" s="344"/>
      <c r="E47" s="345" t="s">
        <v>53</v>
      </c>
      <c r="F47" s="346">
        <f>SUM(F32:F46)</f>
        <v>1.8678611189999997E-3</v>
      </c>
    </row>
    <row r="48" spans="2:10" ht="15" customHeight="1"/>
    <row r="49" spans="2:9" ht="15" customHeight="1">
      <c r="B49" s="106"/>
      <c r="C49" s="250"/>
      <c r="D49" s="250"/>
      <c r="E49" s="250"/>
      <c r="F49" s="250"/>
      <c r="G49" s="250"/>
      <c r="H49" s="250"/>
      <c r="I49" s="250"/>
    </row>
    <row r="50" spans="2:9" ht="15" customHeight="1">
      <c r="B50" s="205" t="s">
        <v>110</v>
      </c>
    </row>
    <row r="51" spans="2:9" ht="15" customHeight="1">
      <c r="B51" s="247" t="s">
        <v>433</v>
      </c>
    </row>
    <row r="52" spans="2:9" ht="15" customHeight="1">
      <c r="B52" s="247" t="s">
        <v>215</v>
      </c>
    </row>
    <row r="53" spans="2:9" ht="15" customHeight="1">
      <c r="B53" s="247" t="s">
        <v>234</v>
      </c>
    </row>
    <row r="54" spans="2:9" ht="15" customHeight="1">
      <c r="B54" s="137" t="s">
        <v>235</v>
      </c>
    </row>
    <row r="55" spans="2:9" ht="15" customHeight="1">
      <c r="B55" s="137" t="s">
        <v>236</v>
      </c>
    </row>
    <row r="56" spans="2:9" ht="15" customHeight="1">
      <c r="B56" s="247" t="s">
        <v>237</v>
      </c>
    </row>
    <row r="57" spans="2:9" ht="15" customHeight="1">
      <c r="B57" s="247" t="s">
        <v>238</v>
      </c>
    </row>
    <row r="58" spans="2:9" ht="15" customHeight="1"/>
    <row r="59" spans="2:9" ht="15" customHeight="1">
      <c r="B59" s="89"/>
    </row>
    <row r="60" spans="2:9" ht="15" customHeight="1">
      <c r="B60" s="138" t="s">
        <v>123</v>
      </c>
    </row>
    <row r="61" spans="2:9" ht="15" customHeight="1">
      <c r="B61" s="139" t="s">
        <v>223</v>
      </c>
      <c r="C61" s="139"/>
    </row>
    <row r="62" spans="2:9" ht="15" customHeight="1">
      <c r="B62" s="139" t="s">
        <v>224</v>
      </c>
      <c r="C62" s="139"/>
    </row>
    <row r="63" spans="2:9" ht="15" customHeight="1">
      <c r="B63" s="140" t="s">
        <v>126</v>
      </c>
      <c r="C63" s="141" t="s">
        <v>239</v>
      </c>
    </row>
    <row r="64" spans="2:9" ht="15" customHeight="1">
      <c r="B64" s="140"/>
      <c r="C64" s="141" t="s">
        <v>240</v>
      </c>
    </row>
    <row r="65" spans="2:3" ht="15" customHeight="1">
      <c r="B65" s="140" t="s">
        <v>129</v>
      </c>
      <c r="C65" s="141" t="s">
        <v>241</v>
      </c>
    </row>
    <row r="66" spans="2:3" ht="15" customHeight="1">
      <c r="B66" s="139" t="s">
        <v>242</v>
      </c>
    </row>
    <row r="67" spans="2:3" ht="15" customHeight="1">
      <c r="B67" s="139" t="s">
        <v>243</v>
      </c>
    </row>
    <row r="68" spans="2:3" ht="15" customHeight="1">
      <c r="B68" s="247" t="s">
        <v>244</v>
      </c>
    </row>
    <row r="69" spans="2:3" ht="15" customHeight="1">
      <c r="B69" s="139" t="s">
        <v>245</v>
      </c>
    </row>
    <row r="70" spans="2:3" ht="15" customHeight="1">
      <c r="B70" s="140" t="s">
        <v>126</v>
      </c>
      <c r="C70" s="247" t="s">
        <v>246</v>
      </c>
    </row>
    <row r="71" spans="2:3" ht="15" customHeight="1">
      <c r="C71" s="247" t="s">
        <v>247</v>
      </c>
    </row>
  </sheetData>
  <pageMargins left="0.75" right="0.75" top="1" bottom="1" header="0.5" footer="0.5"/>
  <pageSetup paperSize="3" orientation="portrait" r:id="rId1"/>
  <headerFooter alignWithMargins="0"/>
  <rowBreaks count="1" manualBreakCount="1">
    <brk id="48"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5"/>
  <sheetViews>
    <sheetView showGridLines="0" showRowColHeaders="0" view="pageBreakPreview" zoomScaleNormal="100" zoomScaleSheetLayoutView="100" workbookViewId="0">
      <selection activeCell="F16" sqref="F16"/>
    </sheetView>
  </sheetViews>
  <sheetFormatPr defaultColWidth="9.140625" defaultRowHeight="12.75"/>
  <cols>
    <col min="1" max="1" width="1.7109375" style="599" customWidth="1"/>
    <col min="2" max="2" width="11.7109375" style="599" customWidth="1"/>
    <col min="3" max="3" width="12.42578125" style="599" customWidth="1"/>
    <col min="4" max="4" width="10.42578125" style="599" customWidth="1"/>
    <col min="5" max="6" width="10.7109375" style="599" customWidth="1"/>
    <col min="7" max="7" width="9.140625" style="599"/>
    <col min="8" max="8" width="1.7109375" style="599" customWidth="1"/>
    <col min="9" max="9" width="9.140625" style="599"/>
    <col min="10" max="10" width="11.7109375" style="599" bestFit="1" customWidth="1"/>
    <col min="11" max="16384" width="9.140625" style="599"/>
  </cols>
  <sheetData>
    <row r="1" spans="1:7" s="89" customFormat="1" ht="18.75">
      <c r="B1" s="88" t="s">
        <v>512</v>
      </c>
      <c r="C1" s="88"/>
    </row>
    <row r="2" spans="1:7" s="89" customFormat="1" ht="15">
      <c r="B2" s="90" t="s">
        <v>457</v>
      </c>
      <c r="C2" s="90"/>
      <c r="D2" s="91"/>
      <c r="E2" s="91"/>
      <c r="F2" s="91"/>
      <c r="G2" s="91"/>
    </row>
    <row r="3" spans="1:7" s="99" customFormat="1">
      <c r="B3" s="93"/>
      <c r="C3" s="94"/>
      <c r="D3" s="94"/>
      <c r="E3" s="94"/>
      <c r="F3" s="94"/>
      <c r="G3" s="94"/>
    </row>
    <row r="4" spans="1:7" s="99" customFormat="1" ht="15" customHeight="1">
      <c r="B4" s="100" t="s">
        <v>517</v>
      </c>
      <c r="C4" s="101"/>
      <c r="D4" s="101"/>
      <c r="E4" s="101"/>
      <c r="F4" s="101"/>
      <c r="G4" s="101"/>
    </row>
    <row r="5" spans="1:7" s="99" customFormat="1" ht="15" customHeight="1">
      <c r="B5" s="205"/>
      <c r="C5" s="643"/>
      <c r="D5" s="643"/>
      <c r="E5" s="643"/>
      <c r="F5" s="643"/>
      <c r="G5" s="643"/>
    </row>
    <row r="6" spans="1:7" s="99" customFormat="1" ht="15" customHeight="1">
      <c r="B6" s="93" t="s">
        <v>511</v>
      </c>
      <c r="C6" s="643"/>
      <c r="D6" s="643"/>
      <c r="E6" s="643"/>
      <c r="F6" s="643"/>
      <c r="G6" s="643"/>
    </row>
    <row r="7" spans="1:7" s="99" customFormat="1" ht="15" customHeight="1">
      <c r="B7" s="93"/>
      <c r="C7" s="643"/>
      <c r="D7" s="643"/>
      <c r="E7" s="643"/>
      <c r="F7" s="643"/>
      <c r="G7" s="643"/>
    </row>
    <row r="8" spans="1:7" s="99" customFormat="1" ht="15" customHeight="1">
      <c r="B8" s="644" t="s">
        <v>98</v>
      </c>
      <c r="C8" s="644"/>
      <c r="D8" s="644"/>
      <c r="E8" s="644"/>
      <c r="F8" s="644"/>
      <c r="G8" s="644"/>
    </row>
    <row r="9" spans="1:7" s="99" customFormat="1" ht="15" customHeight="1">
      <c r="B9" s="93"/>
      <c r="C9" s="643"/>
      <c r="D9" s="643"/>
      <c r="E9" s="643"/>
      <c r="F9" s="643"/>
      <c r="G9" s="643"/>
    </row>
    <row r="10" spans="1:7" s="99" customFormat="1" ht="15" customHeight="1">
      <c r="B10" s="93"/>
      <c r="C10" s="643"/>
      <c r="D10" s="643"/>
      <c r="E10" s="643"/>
      <c r="F10" s="643"/>
      <c r="G10" s="643"/>
    </row>
    <row r="11" spans="1:7" s="99" customFormat="1" ht="15" customHeight="1">
      <c r="B11" s="114" t="s">
        <v>489</v>
      </c>
      <c r="C11" s="107"/>
      <c r="D11" s="642"/>
      <c r="E11" s="107"/>
      <c r="F11" s="107"/>
      <c r="G11" s="643"/>
    </row>
    <row r="12" spans="1:7" s="99" customFormat="1" ht="15" customHeight="1">
      <c r="B12" s="639" t="s">
        <v>488</v>
      </c>
      <c r="C12" s="107" t="s">
        <v>487</v>
      </c>
      <c r="D12" s="642"/>
      <c r="E12" s="639"/>
      <c r="F12" s="107" t="s">
        <v>513</v>
      </c>
      <c r="G12" s="643"/>
    </row>
    <row r="13" spans="1:7" s="99" customFormat="1" ht="15" customHeight="1">
      <c r="B13" s="639" t="s">
        <v>510</v>
      </c>
      <c r="C13" s="599" t="s">
        <v>509</v>
      </c>
      <c r="D13" s="599"/>
      <c r="F13" s="638">
        <f>650</f>
        <v>650</v>
      </c>
      <c r="G13" s="599" t="s">
        <v>508</v>
      </c>
    </row>
    <row r="14" spans="1:7" ht="15" customHeight="1">
      <c r="A14" s="613"/>
      <c r="B14" s="639" t="s">
        <v>507</v>
      </c>
      <c r="C14" s="599" t="s">
        <v>506</v>
      </c>
      <c r="F14" s="605">
        <v>5.0000000000000001E-3</v>
      </c>
      <c r="G14" s="599" t="s">
        <v>505</v>
      </c>
    </row>
    <row r="15" spans="1:7" ht="15" customHeight="1">
      <c r="A15" s="613"/>
      <c r="B15" s="639" t="s">
        <v>504</v>
      </c>
      <c r="C15" s="600" t="s">
        <v>503</v>
      </c>
      <c r="F15" s="647">
        <f>CONVERT(CONVERT(1,"g","lbm"),"gal","ml")</f>
        <v>8.3454044520193325</v>
      </c>
      <c r="G15" s="599" t="s">
        <v>502</v>
      </c>
    </row>
    <row r="16" spans="1:7" ht="15" customHeight="1">
      <c r="A16" s="613"/>
      <c r="B16" s="639" t="s">
        <v>501</v>
      </c>
      <c r="C16" s="600" t="s">
        <v>500</v>
      </c>
      <c r="F16" s="638">
        <f>498*3</f>
        <v>1494</v>
      </c>
      <c r="G16" s="599" t="s">
        <v>499</v>
      </c>
    </row>
    <row r="17" spans="1:7" ht="15" customHeight="1">
      <c r="A17" s="613"/>
      <c r="B17" s="639" t="s">
        <v>498</v>
      </c>
      <c r="C17" s="107" t="s">
        <v>497</v>
      </c>
      <c r="D17" s="642"/>
      <c r="F17" s="646">
        <v>8760</v>
      </c>
      <c r="G17" s="604" t="s">
        <v>496</v>
      </c>
    </row>
    <row r="18" spans="1:7" ht="15" customHeight="1">
      <c r="A18" s="613"/>
      <c r="B18" s="639"/>
      <c r="C18" s="107"/>
      <c r="D18" s="642"/>
      <c r="E18" s="639"/>
      <c r="F18" s="107"/>
      <c r="G18" s="600"/>
    </row>
    <row r="19" spans="1:7" ht="15" customHeight="1">
      <c r="A19" s="613"/>
      <c r="B19" s="644" t="s">
        <v>495</v>
      </c>
      <c r="C19" s="644"/>
      <c r="D19" s="644"/>
      <c r="E19" s="644"/>
      <c r="F19" s="644"/>
      <c r="G19" s="644"/>
    </row>
    <row r="20" spans="1:7" ht="15" customHeight="1">
      <c r="A20" s="613"/>
      <c r="B20" s="93"/>
      <c r="C20" s="643"/>
      <c r="D20" s="643"/>
      <c r="E20" s="643"/>
      <c r="F20" s="643"/>
      <c r="G20" s="643"/>
    </row>
    <row r="21" spans="1:7" ht="15" customHeight="1">
      <c r="A21" s="613"/>
      <c r="B21" s="93"/>
      <c r="C21" s="643"/>
      <c r="D21" s="643"/>
      <c r="E21" s="643"/>
      <c r="F21" s="643"/>
      <c r="G21" s="643"/>
    </row>
    <row r="22" spans="1:7" ht="15" customHeight="1">
      <c r="A22" s="613"/>
      <c r="B22" s="114" t="s">
        <v>489</v>
      </c>
      <c r="C22" s="107"/>
      <c r="D22" s="642"/>
      <c r="E22" s="107"/>
      <c r="F22" s="107"/>
      <c r="G22" s="643"/>
    </row>
    <row r="23" spans="1:7" ht="15" customHeight="1">
      <c r="A23" s="613"/>
      <c r="B23" s="639" t="s">
        <v>488</v>
      </c>
      <c r="C23" s="107" t="s">
        <v>487</v>
      </c>
      <c r="D23" s="642"/>
      <c r="E23" s="639"/>
      <c r="F23" s="107"/>
      <c r="G23" s="643"/>
    </row>
    <row r="24" spans="1:7" ht="15" customHeight="1">
      <c r="A24" s="613"/>
      <c r="B24" s="639" t="s">
        <v>494</v>
      </c>
      <c r="C24" s="599" t="s">
        <v>493</v>
      </c>
      <c r="E24" s="638"/>
      <c r="G24" s="99"/>
    </row>
    <row r="25" spans="1:7" ht="15" customHeight="1">
      <c r="A25" s="613"/>
      <c r="B25" s="639" t="s">
        <v>484</v>
      </c>
      <c r="C25" s="599" t="s">
        <v>492</v>
      </c>
      <c r="F25" s="645">
        <v>1</v>
      </c>
      <c r="G25" s="640" t="s">
        <v>491</v>
      </c>
    </row>
    <row r="26" spans="1:7" ht="15" customHeight="1">
      <c r="A26" s="613"/>
      <c r="B26" s="639"/>
      <c r="C26" s="600"/>
      <c r="G26" s="600"/>
    </row>
    <row r="27" spans="1:7" ht="15" customHeight="1">
      <c r="A27" s="613"/>
      <c r="B27" s="644" t="s">
        <v>490</v>
      </c>
      <c r="C27" s="644"/>
      <c r="D27" s="644"/>
      <c r="E27" s="644"/>
      <c r="F27" s="644"/>
      <c r="G27" s="644"/>
    </row>
    <row r="28" spans="1:7" ht="15" customHeight="1">
      <c r="A28" s="613"/>
      <c r="B28" s="93"/>
      <c r="C28" s="643"/>
      <c r="D28" s="643"/>
      <c r="F28" s="643"/>
      <c r="G28" s="643"/>
    </row>
    <row r="29" spans="1:7" ht="15" customHeight="1">
      <c r="A29" s="613"/>
      <c r="B29" s="93"/>
      <c r="C29" s="643"/>
      <c r="D29" s="643"/>
      <c r="F29" s="643"/>
      <c r="G29" s="643"/>
    </row>
    <row r="30" spans="1:7" ht="15" customHeight="1">
      <c r="A30" s="613"/>
      <c r="B30" s="114" t="s">
        <v>489</v>
      </c>
      <c r="C30" s="107"/>
      <c r="D30" s="642"/>
      <c r="F30" s="107"/>
      <c r="G30" s="107"/>
    </row>
    <row r="31" spans="1:7" ht="15" customHeight="1">
      <c r="A31" s="613"/>
      <c r="B31" s="639" t="s">
        <v>488</v>
      </c>
      <c r="C31" s="107" t="s">
        <v>487</v>
      </c>
      <c r="D31" s="642"/>
      <c r="F31" s="639"/>
      <c r="G31" s="107"/>
    </row>
    <row r="32" spans="1:7" ht="15" customHeight="1">
      <c r="A32" s="613"/>
      <c r="B32" s="639" t="s">
        <v>486</v>
      </c>
      <c r="C32" s="599" t="s">
        <v>485</v>
      </c>
      <c r="F32" s="638"/>
    </row>
    <row r="33" spans="1:7" ht="15" customHeight="1">
      <c r="A33" s="613"/>
      <c r="B33" s="639" t="s">
        <v>484</v>
      </c>
      <c r="C33" s="599" t="s">
        <v>483</v>
      </c>
      <c r="F33" s="641">
        <v>0.6</v>
      </c>
      <c r="G33" s="640" t="s">
        <v>214</v>
      </c>
    </row>
    <row r="34" spans="1:7" ht="15" customHeight="1">
      <c r="A34" s="613"/>
      <c r="B34" s="639"/>
      <c r="C34" s="600"/>
      <c r="F34" s="638"/>
    </row>
    <row r="35" spans="1:7" ht="15" customHeight="1">
      <c r="A35" s="613"/>
      <c r="B35" s="604"/>
      <c r="D35" s="606"/>
      <c r="E35" s="600"/>
      <c r="F35" s="606"/>
      <c r="G35" s="600"/>
    </row>
    <row r="36" spans="1:7" ht="15" customHeight="1" thickBot="1">
      <c r="A36" s="613"/>
      <c r="B36" s="115" t="s">
        <v>514</v>
      </c>
      <c r="D36" s="606"/>
      <c r="E36" s="600"/>
      <c r="F36" s="606"/>
      <c r="G36" s="600"/>
    </row>
    <row r="37" spans="1:7" ht="15" customHeight="1">
      <c r="A37" s="613"/>
      <c r="B37" s="637"/>
      <c r="C37" s="636"/>
      <c r="D37" s="635"/>
      <c r="E37" s="634" t="s">
        <v>482</v>
      </c>
      <c r="F37" s="633"/>
      <c r="G37" s="632"/>
    </row>
    <row r="38" spans="1:7" ht="15" customHeight="1">
      <c r="A38" s="613"/>
      <c r="B38" s="631" t="s">
        <v>481</v>
      </c>
      <c r="C38" s="630"/>
      <c r="D38" s="629"/>
      <c r="E38" s="628" t="s">
        <v>480</v>
      </c>
      <c r="F38" s="627"/>
      <c r="G38" s="626"/>
    </row>
    <row r="39" spans="1:7" ht="15" customHeight="1" thickBot="1">
      <c r="A39" s="613"/>
      <c r="B39" s="625"/>
      <c r="C39" s="624"/>
      <c r="D39" s="623"/>
      <c r="E39" s="622" t="s">
        <v>98</v>
      </c>
      <c r="F39" s="621" t="s">
        <v>479</v>
      </c>
      <c r="G39" s="620" t="s">
        <v>478</v>
      </c>
    </row>
    <row r="40" spans="1:7" ht="15" customHeight="1" thickBot="1">
      <c r="A40" s="613"/>
      <c r="B40" s="619" t="s">
        <v>477</v>
      </c>
      <c r="C40" s="618"/>
      <c r="D40" s="617"/>
      <c r="E40" s="616">
        <f>F13*(F14/100)*F15*(F16/1000000)*F17*60/2000</f>
        <v>0.10648948054049751</v>
      </c>
      <c r="F40" s="615">
        <f>E40*F25</f>
        <v>0.10648948054049751</v>
      </c>
      <c r="G40" s="614">
        <f>F40*F33</f>
        <v>6.3893688324298495E-2</v>
      </c>
    </row>
    <row r="41" spans="1:7" ht="15" customHeight="1">
      <c r="A41" s="613"/>
      <c r="B41" s="604"/>
      <c r="D41" s="606"/>
      <c r="E41" s="600"/>
      <c r="F41" s="606"/>
      <c r="G41" s="612"/>
    </row>
    <row r="42" spans="1:7" ht="15" customHeight="1">
      <c r="B42" s="611"/>
      <c r="C42" s="610"/>
      <c r="D42" s="609"/>
      <c r="E42" s="608"/>
      <c r="F42" s="609"/>
      <c r="G42" s="608"/>
    </row>
    <row r="43" spans="1:7" ht="15" customHeight="1">
      <c r="B43" s="607" t="s">
        <v>110</v>
      </c>
      <c r="D43" s="606"/>
      <c r="E43" s="605"/>
      <c r="F43" s="606"/>
      <c r="G43" s="605"/>
    </row>
    <row r="44" spans="1:7" ht="15" customHeight="1">
      <c r="B44" s="89" t="s">
        <v>476</v>
      </c>
      <c r="D44" s="606"/>
      <c r="E44" s="605"/>
      <c r="F44" s="606"/>
      <c r="G44" s="605"/>
    </row>
    <row r="45" spans="1:7" ht="15" customHeight="1">
      <c r="B45" s="89" t="s">
        <v>515</v>
      </c>
      <c r="D45" s="606"/>
      <c r="E45" s="605"/>
      <c r="F45" s="606"/>
      <c r="G45" s="605"/>
    </row>
    <row r="46" spans="1:7" ht="15" customHeight="1">
      <c r="B46" s="89" t="s">
        <v>516</v>
      </c>
      <c r="D46" s="606"/>
      <c r="E46" s="605"/>
      <c r="F46" s="606"/>
      <c r="G46" s="605"/>
    </row>
    <row r="47" spans="1:7" ht="15" customHeight="1">
      <c r="B47" s="89" t="s">
        <v>475</v>
      </c>
      <c r="D47" s="606"/>
      <c r="E47" s="605"/>
      <c r="F47" s="606"/>
      <c r="G47" s="605"/>
    </row>
    <row r="48" spans="1:7" ht="15" customHeight="1">
      <c r="B48" s="89" t="s">
        <v>474</v>
      </c>
      <c r="D48" s="606"/>
      <c r="E48" s="605"/>
      <c r="F48" s="606"/>
      <c r="G48" s="605"/>
    </row>
    <row r="49" spans="2:7" ht="15" customHeight="1">
      <c r="B49" s="600" t="s">
        <v>473</v>
      </c>
      <c r="D49" s="606"/>
      <c r="E49" s="605"/>
      <c r="F49" s="606"/>
      <c r="G49" s="605"/>
    </row>
    <row r="50" spans="2:7" ht="15" customHeight="1">
      <c r="D50" s="606"/>
      <c r="E50" s="605"/>
      <c r="F50" s="606"/>
      <c r="G50" s="605"/>
    </row>
    <row r="51" spans="2:7" ht="15" customHeight="1">
      <c r="B51" s="604"/>
    </row>
    <row r="52" spans="2:7" ht="15" customHeight="1">
      <c r="B52" s="603" t="s">
        <v>123</v>
      </c>
      <c r="C52" s="602"/>
    </row>
    <row r="53" spans="2:7" ht="15" customHeight="1">
      <c r="B53" s="600" t="s">
        <v>472</v>
      </c>
      <c r="C53" s="602"/>
    </row>
    <row r="54" spans="2:7" ht="15" customHeight="1">
      <c r="B54" s="600" t="s">
        <v>471</v>
      </c>
      <c r="C54" s="602"/>
    </row>
    <row r="55" spans="2:7" ht="15" customHeight="1">
      <c r="B55" s="601" t="s">
        <v>126</v>
      </c>
      <c r="C55" s="600" t="s">
        <v>470</v>
      </c>
    </row>
  </sheetData>
  <pageMargins left="0.75" right="0.75" top="1" bottom="1" header="0.5" footer="0.5"/>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11"/>
  <sheetViews>
    <sheetView view="pageBreakPreview" zoomScaleNormal="100" zoomScaleSheetLayoutView="100" workbookViewId="0">
      <selection activeCell="B2" sqref="B2"/>
    </sheetView>
  </sheetViews>
  <sheetFormatPr defaultRowHeight="15"/>
  <cols>
    <col min="1" max="1" width="1.7109375" customWidth="1"/>
    <col min="3" max="3" width="31.42578125" customWidth="1"/>
    <col min="4" max="4" width="11" bestFit="1" customWidth="1"/>
    <col min="5" max="5" width="10.28515625" customWidth="1"/>
    <col min="6" max="6" width="12" customWidth="1"/>
    <col min="8" max="8" width="9.140625" customWidth="1"/>
    <col min="10" max="10" width="1.7109375" customWidth="1"/>
  </cols>
  <sheetData>
    <row r="1" spans="1:10" ht="18.75">
      <c r="A1" s="225"/>
      <c r="B1" s="226" t="s">
        <v>196</v>
      </c>
      <c r="C1" s="226"/>
      <c r="D1" s="226"/>
      <c r="E1" s="225"/>
      <c r="F1" s="225"/>
      <c r="G1" s="225"/>
      <c r="H1" s="225"/>
      <c r="I1" s="225"/>
      <c r="J1" s="225"/>
    </row>
    <row r="2" spans="1:10">
      <c r="A2" s="225"/>
      <c r="B2" s="90" t="s">
        <v>457</v>
      </c>
      <c r="C2" s="228"/>
      <c r="D2" s="228"/>
      <c r="E2" s="229"/>
      <c r="F2" s="229"/>
      <c r="G2" s="229"/>
      <c r="H2" s="229"/>
      <c r="I2" s="230"/>
      <c r="J2" s="225"/>
    </row>
    <row r="3" spans="1:10">
      <c r="A3" s="231"/>
      <c r="B3" s="232"/>
      <c r="C3" s="233"/>
      <c r="D3" s="233"/>
      <c r="E3" s="233"/>
      <c r="F3" s="233"/>
      <c r="G3" s="233"/>
      <c r="H3" s="233"/>
      <c r="I3" s="233"/>
      <c r="J3" s="234"/>
    </row>
    <row r="4" spans="1:10">
      <c r="A4" s="231"/>
      <c r="B4" s="235" t="s">
        <v>434</v>
      </c>
      <c r="C4" s="236"/>
      <c r="D4" s="236"/>
      <c r="E4" s="236"/>
      <c r="F4" s="236"/>
      <c r="G4" s="236"/>
      <c r="H4" s="237"/>
      <c r="I4" s="237"/>
      <c r="J4" s="234"/>
    </row>
    <row r="5" spans="1:10" ht="15.75" thickBot="1">
      <c r="A5" s="227"/>
      <c r="B5" s="227"/>
      <c r="C5" s="227"/>
      <c r="D5" s="227"/>
      <c r="E5" s="227"/>
      <c r="F5" s="227"/>
      <c r="G5" s="227"/>
      <c r="H5" s="227"/>
      <c r="I5" s="227"/>
      <c r="J5" s="227"/>
    </row>
    <row r="6" spans="1:10">
      <c r="A6" s="227"/>
      <c r="B6" s="227"/>
      <c r="C6" s="675" t="s">
        <v>27</v>
      </c>
      <c r="D6" s="682"/>
      <c r="E6" s="683"/>
      <c r="F6" s="227"/>
      <c r="G6" s="227"/>
      <c r="H6" s="227"/>
      <c r="I6" s="227"/>
      <c r="J6" s="227"/>
    </row>
    <row r="7" spans="1:10" ht="15.75" thickBot="1">
      <c r="A7" s="227"/>
      <c r="B7" s="227"/>
      <c r="C7" s="684"/>
      <c r="D7" s="685"/>
      <c r="E7" s="686"/>
      <c r="F7" s="227"/>
      <c r="G7" s="227"/>
      <c r="H7" s="227"/>
      <c r="I7" s="227"/>
      <c r="J7" s="227"/>
    </row>
    <row r="8" spans="1:10" ht="15.75" thickBot="1">
      <c r="A8" s="227"/>
      <c r="B8" s="227"/>
      <c r="C8" s="30"/>
      <c r="D8" s="31"/>
      <c r="E8" s="32"/>
      <c r="F8" s="227"/>
      <c r="G8" s="227"/>
      <c r="H8" s="227"/>
      <c r="I8" s="227"/>
      <c r="J8" s="227"/>
    </row>
    <row r="9" spans="1:10">
      <c r="A9" s="227"/>
      <c r="B9" s="227"/>
      <c r="C9" s="43" t="s">
        <v>0</v>
      </c>
      <c r="D9" s="44">
        <v>2</v>
      </c>
      <c r="E9" s="26"/>
      <c r="F9" s="227"/>
      <c r="G9" s="227"/>
      <c r="H9" s="227"/>
      <c r="I9" s="227"/>
      <c r="J9" s="227"/>
    </row>
    <row r="10" spans="1:10" ht="15.75">
      <c r="A10" s="227"/>
      <c r="B10" s="227"/>
      <c r="C10" s="46" t="s">
        <v>2</v>
      </c>
      <c r="D10" s="45">
        <v>1517</v>
      </c>
      <c r="E10" s="27" t="s">
        <v>324</v>
      </c>
      <c r="F10" s="227"/>
      <c r="G10" s="227"/>
      <c r="H10" s="227"/>
      <c r="I10" s="227"/>
      <c r="J10" s="227"/>
    </row>
    <row r="11" spans="1:10" ht="15.75">
      <c r="A11" s="227"/>
      <c r="B11" s="227"/>
      <c r="C11" s="46" t="s">
        <v>34</v>
      </c>
      <c r="D11" s="567">
        <f>8.65*1.11</f>
        <v>9.6015000000000015</v>
      </c>
      <c r="E11" s="27" t="s">
        <v>336</v>
      </c>
      <c r="F11" s="227"/>
      <c r="G11" s="227"/>
      <c r="H11" s="227"/>
      <c r="I11" s="227"/>
      <c r="J11" s="227"/>
    </row>
    <row r="12" spans="1:10" ht="15.75">
      <c r="A12" s="227"/>
      <c r="B12" s="227"/>
      <c r="C12" s="39" t="s">
        <v>1</v>
      </c>
      <c r="D12" s="45">
        <v>6650</v>
      </c>
      <c r="E12" s="27" t="s">
        <v>325</v>
      </c>
      <c r="F12" s="227"/>
      <c r="G12" s="227"/>
      <c r="H12" s="227"/>
      <c r="I12" s="227"/>
      <c r="J12" s="227"/>
    </row>
    <row r="13" spans="1:10">
      <c r="A13" s="227"/>
      <c r="B13" s="227"/>
      <c r="C13" s="47" t="s">
        <v>3</v>
      </c>
      <c r="D13" s="45">
        <v>8760</v>
      </c>
      <c r="E13" s="27" t="s">
        <v>4</v>
      </c>
      <c r="F13" s="227"/>
      <c r="G13" s="227"/>
      <c r="H13" s="227"/>
      <c r="I13" s="227"/>
      <c r="J13" s="227"/>
    </row>
    <row r="14" spans="1:10" ht="15.75">
      <c r="A14" s="227"/>
      <c r="B14" s="227"/>
      <c r="C14" s="47" t="s">
        <v>7</v>
      </c>
      <c r="D14" s="45">
        <v>757</v>
      </c>
      <c r="E14" s="143" t="s">
        <v>326</v>
      </c>
      <c r="F14" s="227"/>
      <c r="G14" s="227"/>
      <c r="H14" s="227"/>
      <c r="I14" s="227"/>
      <c r="J14" s="227"/>
    </row>
    <row r="15" spans="1:10">
      <c r="A15" s="227"/>
      <c r="B15" s="227"/>
      <c r="C15" s="47" t="s">
        <v>136</v>
      </c>
      <c r="D15" s="45">
        <v>100</v>
      </c>
      <c r="E15" s="143" t="s">
        <v>135</v>
      </c>
      <c r="F15" s="227"/>
      <c r="G15" s="227"/>
      <c r="H15" s="227"/>
      <c r="I15" s="227"/>
      <c r="J15" s="227"/>
    </row>
    <row r="16" spans="1:10">
      <c r="A16" s="227"/>
      <c r="B16" s="227"/>
      <c r="C16" s="46" t="s">
        <v>137</v>
      </c>
      <c r="D16" s="38">
        <v>64</v>
      </c>
      <c r="E16" s="143" t="s">
        <v>17</v>
      </c>
      <c r="F16" s="227"/>
      <c r="G16" s="227"/>
      <c r="H16" s="227"/>
      <c r="I16" s="227"/>
      <c r="J16" s="227"/>
    </row>
    <row r="17" spans="1:12" ht="15.75" thickBot="1">
      <c r="A17" s="227"/>
      <c r="B17" s="227"/>
      <c r="C17" s="40" t="s">
        <v>197</v>
      </c>
      <c r="D17" s="36">
        <v>98</v>
      </c>
      <c r="E17" s="142" t="s">
        <v>17</v>
      </c>
      <c r="F17" s="227"/>
      <c r="G17" s="227"/>
      <c r="H17" s="227"/>
      <c r="I17" s="227"/>
      <c r="J17" s="227"/>
    </row>
    <row r="18" spans="1:12">
      <c r="A18" s="227"/>
      <c r="B18" s="227"/>
      <c r="C18" s="675" t="s">
        <v>54</v>
      </c>
      <c r="D18" s="682"/>
      <c r="E18" s="683"/>
      <c r="F18" s="227"/>
      <c r="G18" s="227"/>
      <c r="H18" s="227"/>
      <c r="I18" s="227"/>
      <c r="J18" s="227"/>
    </row>
    <row r="19" spans="1:12" ht="15.75" thickBot="1">
      <c r="A19" s="227"/>
      <c r="B19" s="227"/>
      <c r="C19" s="684"/>
      <c r="D19" s="685"/>
      <c r="E19" s="686"/>
      <c r="F19" s="227"/>
      <c r="G19" s="227"/>
      <c r="H19" s="227"/>
      <c r="I19" s="227"/>
      <c r="J19" s="227"/>
    </row>
    <row r="20" spans="1:12" ht="15.75">
      <c r="A20" s="227"/>
      <c r="B20" s="227"/>
      <c r="C20" s="41" t="s">
        <v>18</v>
      </c>
      <c r="D20" s="37">
        <v>1</v>
      </c>
      <c r="E20" s="33" t="s">
        <v>328</v>
      </c>
      <c r="F20" s="227"/>
      <c r="G20" s="227"/>
      <c r="H20" s="227"/>
      <c r="I20" s="227"/>
      <c r="J20" s="227"/>
    </row>
    <row r="21" spans="1:12" ht="15.75">
      <c r="A21" s="227"/>
      <c r="B21" s="227"/>
      <c r="C21" s="42" t="s">
        <v>5</v>
      </c>
      <c r="D21" s="38">
        <v>0.5</v>
      </c>
      <c r="E21" s="27" t="s">
        <v>328</v>
      </c>
      <c r="F21" s="227"/>
      <c r="G21" s="227"/>
      <c r="H21" s="227"/>
      <c r="I21" s="227"/>
      <c r="J21" s="227"/>
    </row>
    <row r="22" spans="1:12" ht="15.75">
      <c r="A22" s="227"/>
      <c r="B22" s="227"/>
      <c r="C22" s="42" t="s">
        <v>29</v>
      </c>
      <c r="D22" s="38">
        <v>0.03</v>
      </c>
      <c r="E22" s="27" t="s">
        <v>328</v>
      </c>
      <c r="F22" s="227"/>
      <c r="G22" s="227"/>
      <c r="H22" s="227"/>
      <c r="I22" s="227"/>
      <c r="J22" s="227"/>
    </row>
    <row r="23" spans="1:12" ht="15.75">
      <c r="A23" s="227"/>
      <c r="B23" s="227"/>
      <c r="C23" s="42" t="s">
        <v>30</v>
      </c>
      <c r="D23" s="503">
        <v>0.03</v>
      </c>
      <c r="E23" s="27" t="s">
        <v>328</v>
      </c>
      <c r="F23" s="227"/>
      <c r="G23" s="227"/>
      <c r="H23" s="227"/>
      <c r="I23" s="227"/>
      <c r="J23" s="227"/>
    </row>
    <row r="24" spans="1:12" s="372" customFormat="1" ht="15.75">
      <c r="A24" s="227"/>
      <c r="B24" s="227"/>
      <c r="C24" s="42" t="s">
        <v>342</v>
      </c>
      <c r="D24" s="503">
        <v>0.03</v>
      </c>
      <c r="E24" s="27" t="s">
        <v>328</v>
      </c>
      <c r="F24" s="227"/>
      <c r="G24" s="227"/>
      <c r="H24" s="227"/>
      <c r="I24" s="227"/>
      <c r="J24" s="227"/>
    </row>
    <row r="25" spans="1:12" ht="15.75">
      <c r="A25" s="227"/>
      <c r="B25" s="227"/>
      <c r="C25" s="42" t="s">
        <v>31</v>
      </c>
      <c r="D25" s="53">
        <v>9.9100000000000004E-3</v>
      </c>
      <c r="E25" s="27" t="s">
        <v>335</v>
      </c>
      <c r="F25" s="227"/>
      <c r="G25" s="227"/>
      <c r="H25" s="227"/>
      <c r="I25" s="227"/>
      <c r="J25" s="227"/>
    </row>
    <row r="26" spans="1:12" ht="15.75">
      <c r="A26" s="227"/>
      <c r="B26" s="227"/>
      <c r="C26" s="42" t="s">
        <v>19</v>
      </c>
      <c r="D26" s="53">
        <v>5.8799999999999998E-4</v>
      </c>
      <c r="E26" s="27" t="s">
        <v>335</v>
      </c>
      <c r="F26" s="227"/>
      <c r="G26" s="227"/>
      <c r="H26" s="227"/>
      <c r="I26" s="227"/>
      <c r="J26" s="227"/>
    </row>
    <row r="27" spans="1:12" ht="15.75">
      <c r="A27" s="227"/>
      <c r="B27" s="227"/>
      <c r="C27" s="42" t="s">
        <v>6</v>
      </c>
      <c r="D27" s="38">
        <v>1.6</v>
      </c>
      <c r="E27" s="27" t="s">
        <v>25</v>
      </c>
      <c r="F27" s="227"/>
      <c r="G27" s="227"/>
      <c r="H27" s="227"/>
      <c r="I27" s="227"/>
      <c r="J27" s="227"/>
    </row>
    <row r="28" spans="1:12" ht="15.75">
      <c r="A28" s="227"/>
      <c r="B28" s="227"/>
      <c r="C28" s="707" t="s">
        <v>20</v>
      </c>
      <c r="D28" s="48">
        <v>6.4</v>
      </c>
      <c r="E28" s="49" t="s">
        <v>338</v>
      </c>
      <c r="F28" s="227"/>
      <c r="G28" s="227"/>
      <c r="H28" s="227"/>
      <c r="I28" s="227"/>
      <c r="J28" s="227"/>
    </row>
    <row r="29" spans="1:12">
      <c r="A29" s="227"/>
      <c r="B29" s="227"/>
      <c r="C29" s="708"/>
      <c r="D29" s="36">
        <f>D28/100*1000000</f>
        <v>64000</v>
      </c>
      <c r="E29" s="25" t="s">
        <v>28</v>
      </c>
      <c r="F29" s="227"/>
      <c r="G29" s="227"/>
      <c r="H29" s="227"/>
      <c r="I29" s="227"/>
      <c r="J29" s="227"/>
    </row>
    <row r="30" spans="1:12" ht="16.5" thickBot="1">
      <c r="A30" s="227"/>
      <c r="B30" s="227"/>
      <c r="C30" s="50" t="s">
        <v>23</v>
      </c>
      <c r="D30" s="51">
        <v>1.25</v>
      </c>
      <c r="E30" s="52" t="s">
        <v>335</v>
      </c>
      <c r="F30" s="227"/>
      <c r="G30" s="227"/>
      <c r="H30" s="227"/>
      <c r="I30" s="227"/>
      <c r="J30" s="227"/>
    </row>
    <row r="31" spans="1:12">
      <c r="A31" s="227"/>
      <c r="B31" s="227"/>
      <c r="C31" s="675" t="s">
        <v>248</v>
      </c>
      <c r="D31" s="682"/>
      <c r="E31" s="683"/>
      <c r="F31" s="227"/>
      <c r="G31" s="227"/>
      <c r="H31" s="227"/>
      <c r="I31" s="227"/>
      <c r="J31" s="227"/>
    </row>
    <row r="32" spans="1:12" ht="15.75" thickBot="1">
      <c r="A32" s="227"/>
      <c r="B32" s="227"/>
      <c r="C32" s="684"/>
      <c r="D32" s="685"/>
      <c r="E32" s="686"/>
      <c r="F32" s="227"/>
      <c r="G32" s="227"/>
      <c r="H32" s="227"/>
      <c r="I32" s="227"/>
      <c r="J32" s="227"/>
      <c r="L32" s="1"/>
    </row>
    <row r="33" spans="1:15">
      <c r="A33" s="227"/>
      <c r="B33" s="227"/>
      <c r="C33" s="34" t="s">
        <v>18</v>
      </c>
      <c r="D33" s="35">
        <f>((D20*$D$10*8760)/(453.59*2000))*D9</f>
        <v>29.297206728543397</v>
      </c>
      <c r="E33" s="33" t="s">
        <v>26</v>
      </c>
      <c r="F33" s="227"/>
      <c r="G33" s="227"/>
      <c r="H33" s="227"/>
      <c r="I33" s="227"/>
      <c r="J33" s="227"/>
      <c r="K33" s="1"/>
      <c r="L33" s="36"/>
      <c r="M33" s="1"/>
      <c r="N33" s="372"/>
    </row>
    <row r="34" spans="1:15">
      <c r="A34" s="227"/>
      <c r="B34" s="227"/>
      <c r="C34" s="28" t="s">
        <v>5</v>
      </c>
      <c r="D34" s="29">
        <f>((D21*$D$10*8760)/(453.59*2000))*D9</f>
        <v>14.648603364271699</v>
      </c>
      <c r="E34" s="33" t="s">
        <v>26</v>
      </c>
      <c r="F34" s="227"/>
      <c r="G34" s="227"/>
      <c r="H34" s="227"/>
      <c r="I34" s="227"/>
      <c r="J34" s="227"/>
      <c r="K34" s="1"/>
      <c r="L34" s="36"/>
      <c r="M34" s="1"/>
      <c r="N34" s="372"/>
    </row>
    <row r="35" spans="1:15" ht="15.75">
      <c r="A35" s="227"/>
      <c r="B35" s="227"/>
      <c r="C35" s="28" t="s">
        <v>32</v>
      </c>
      <c r="D35" s="29">
        <f>(((D22*$D$10*8760)/(453.59*2000))+(D11*D25*8760/2000))*D9</f>
        <v>1.7124377792563021</v>
      </c>
      <c r="E35" s="33" t="s">
        <v>339</v>
      </c>
      <c r="F35" s="227"/>
      <c r="G35" s="227"/>
      <c r="H35" s="227"/>
      <c r="I35" s="227"/>
      <c r="J35" s="227"/>
      <c r="K35" s="1"/>
      <c r="L35" s="36"/>
      <c r="M35" s="1"/>
      <c r="N35" s="372"/>
    </row>
    <row r="36" spans="1:15" ht="15.75">
      <c r="A36" s="227"/>
      <c r="B36" s="227"/>
      <c r="C36" s="28" t="s">
        <v>33</v>
      </c>
      <c r="D36" s="29">
        <f>(((D23*$D$10*8760)/(453.59*2000))+(D11*D25*8760/2000))*D9</f>
        <v>1.7124377792563021</v>
      </c>
      <c r="E36" s="33" t="s">
        <v>339</v>
      </c>
      <c r="F36" s="227"/>
      <c r="G36" s="227"/>
      <c r="H36" s="227"/>
      <c r="I36" s="227"/>
      <c r="J36" s="227"/>
      <c r="K36" s="1"/>
      <c r="L36" s="36"/>
      <c r="M36" s="1"/>
      <c r="N36" s="372"/>
    </row>
    <row r="37" spans="1:15" s="372" customFormat="1" ht="15.75">
      <c r="A37" s="227"/>
      <c r="B37" s="227"/>
      <c r="C37" s="28" t="s">
        <v>342</v>
      </c>
      <c r="D37" s="29">
        <f>(((D24*$D$10*8760)/(453.59*2000))*D9)</f>
        <v>0.87891620185630193</v>
      </c>
      <c r="E37" s="33" t="s">
        <v>350</v>
      </c>
      <c r="F37" s="227"/>
      <c r="G37" s="227"/>
      <c r="H37" s="227"/>
      <c r="I37" s="227"/>
      <c r="J37" s="227"/>
      <c r="K37" s="1"/>
      <c r="L37" s="36"/>
      <c r="M37" s="1"/>
    </row>
    <row r="38" spans="1:15">
      <c r="A38" s="227"/>
      <c r="B38" s="227"/>
      <c r="C38" s="28" t="s">
        <v>19</v>
      </c>
      <c r="D38" s="54">
        <f>(((D11*D26)*8760)/2000)*D9</f>
        <v>4.9456174320000011E-2</v>
      </c>
      <c r="E38" s="33" t="s">
        <v>26</v>
      </c>
      <c r="G38" s="227"/>
      <c r="H38" s="227"/>
      <c r="I38" s="227"/>
      <c r="J38" s="227"/>
      <c r="K38" s="1"/>
      <c r="L38" s="36"/>
      <c r="M38" s="1"/>
      <c r="N38" s="372"/>
    </row>
    <row r="39" spans="1:15" ht="15.75">
      <c r="A39" s="227"/>
      <c r="B39" s="227"/>
      <c r="C39" s="58" t="s">
        <v>436</v>
      </c>
      <c r="D39" s="144">
        <f>((((D26*D11)*(D17/D16))*8760)/2000)*D9</f>
        <v>7.5729766927500011E-2</v>
      </c>
      <c r="E39" s="25" t="s">
        <v>26</v>
      </c>
      <c r="F39" s="227"/>
      <c r="G39" s="227"/>
      <c r="H39" s="227"/>
      <c r="I39" s="227"/>
      <c r="J39" s="227"/>
      <c r="K39" s="1"/>
      <c r="L39" s="36"/>
      <c r="M39" s="1"/>
      <c r="N39" s="372"/>
    </row>
    <row r="40" spans="1:15" ht="15" customHeight="1" thickBot="1">
      <c r="A40" s="227"/>
      <c r="B40" s="227"/>
      <c r="C40" s="58" t="s">
        <v>6</v>
      </c>
      <c r="D40" s="59">
        <f>((D27*$D$10*8760)/(453.59*2000))*D9</f>
        <v>46.875530765669446</v>
      </c>
      <c r="E40" s="52" t="s">
        <v>26</v>
      </c>
      <c r="F40" s="227"/>
      <c r="G40" s="227"/>
      <c r="H40" s="227"/>
      <c r="I40" s="227"/>
      <c r="J40" s="227"/>
      <c r="K40" s="1"/>
      <c r="L40" s="36"/>
      <c r="M40" s="1"/>
    </row>
    <row r="41" spans="1:15" ht="17.25" customHeight="1">
      <c r="A41" s="227"/>
      <c r="B41" s="227"/>
      <c r="C41" s="60" t="s">
        <v>20</v>
      </c>
      <c r="D41" s="61">
        <f>(((D28*D12*60*44)/(100*0.7302*(757+459.67))*8760)/2000)*D9</f>
        <v>11078.858718449679</v>
      </c>
      <c r="E41" s="26" t="s">
        <v>26</v>
      </c>
      <c r="F41" s="227"/>
      <c r="G41" s="227"/>
      <c r="H41" s="227"/>
      <c r="I41" s="227"/>
      <c r="J41" s="227"/>
      <c r="K41" s="1"/>
      <c r="L41" s="1"/>
    </row>
    <row r="42" spans="1:15">
      <c r="A42" s="227"/>
      <c r="B42" s="227"/>
      <c r="C42" s="28" t="s">
        <v>23</v>
      </c>
      <c r="D42" s="55">
        <f>(((D30*D11)*8760)/2000)*D9</f>
        <v>105.13642500000002</v>
      </c>
      <c r="E42" s="25" t="s">
        <v>26</v>
      </c>
      <c r="F42" s="227"/>
      <c r="G42" s="227"/>
      <c r="H42" s="227"/>
      <c r="I42" s="227"/>
      <c r="J42" s="227"/>
      <c r="L42" s="1"/>
    </row>
    <row r="43" spans="1:15" ht="16.5" thickBot="1">
      <c r="A43" s="227"/>
      <c r="B43" s="227"/>
      <c r="C43" s="56" t="s">
        <v>365</v>
      </c>
      <c r="D43" s="57">
        <f>(D41*1)+(D42*25)</f>
        <v>13707.26934344968</v>
      </c>
      <c r="E43" s="52" t="s">
        <v>26</v>
      </c>
      <c r="F43" s="227"/>
      <c r="G43" s="227"/>
      <c r="H43" s="227"/>
      <c r="I43" s="227"/>
      <c r="J43" s="227"/>
    </row>
    <row r="44" spans="1:15">
      <c r="A44" s="227"/>
      <c r="B44" s="227"/>
      <c r="C44" s="36"/>
      <c r="D44" s="242"/>
      <c r="E44" s="241"/>
      <c r="F44" s="227"/>
      <c r="G44" s="227"/>
      <c r="H44" s="227"/>
      <c r="I44" s="227"/>
      <c r="J44" s="227"/>
    </row>
    <row r="45" spans="1:15" ht="15.75" thickBot="1">
      <c r="A45" s="227"/>
      <c r="B45" s="227"/>
      <c r="C45" s="227"/>
      <c r="D45" s="227"/>
      <c r="E45" s="227"/>
      <c r="F45" s="227"/>
      <c r="G45" s="227"/>
      <c r="H45" s="227"/>
      <c r="I45" s="227"/>
      <c r="J45" s="227"/>
    </row>
    <row r="46" spans="1:15" ht="26.25" customHeight="1">
      <c r="A46" s="227"/>
      <c r="B46" s="227"/>
      <c r="C46" s="673" t="s">
        <v>78</v>
      </c>
      <c r="D46" s="673" t="s">
        <v>341</v>
      </c>
      <c r="E46" s="673" t="s">
        <v>428</v>
      </c>
      <c r="F46" s="705" t="s">
        <v>429</v>
      </c>
      <c r="G46" s="227"/>
      <c r="H46" s="227"/>
      <c r="I46" s="227"/>
      <c r="J46" s="227"/>
    </row>
    <row r="47" spans="1:15" ht="29.25" customHeight="1" thickBot="1">
      <c r="A47" s="227"/>
      <c r="B47" s="227"/>
      <c r="C47" s="674"/>
      <c r="D47" s="674"/>
      <c r="E47" s="674"/>
      <c r="F47" s="706"/>
      <c r="G47" s="227"/>
      <c r="H47" s="227"/>
      <c r="I47" s="227"/>
      <c r="J47" s="227"/>
      <c r="K47" s="1"/>
      <c r="L47" s="1"/>
      <c r="M47" s="1"/>
    </row>
    <row r="48" spans="1:15">
      <c r="A48" s="227"/>
      <c r="B48" s="227"/>
      <c r="C48" s="41" t="s">
        <v>55</v>
      </c>
      <c r="D48" s="68">
        <v>4.0000000000000003E-5</v>
      </c>
      <c r="E48" s="75">
        <f>$D48*$D$11</f>
        <v>3.8406000000000009E-4</v>
      </c>
      <c r="F48" s="76">
        <f>(E48*8760/2000)*$D$9</f>
        <v>3.3643656000000004E-3</v>
      </c>
      <c r="G48" s="227"/>
      <c r="H48" s="227"/>
      <c r="I48" s="227"/>
      <c r="J48" s="227"/>
      <c r="L48" s="487"/>
      <c r="O48" s="425"/>
    </row>
    <row r="49" spans="1:15">
      <c r="A49" s="227"/>
      <c r="B49" s="227"/>
      <c r="C49" s="42" t="s">
        <v>56</v>
      </c>
      <c r="D49" s="69">
        <v>3.18E-5</v>
      </c>
      <c r="E49" s="77">
        <f t="shared" ref="E49:E84" si="0">$D49*$D$11</f>
        <v>3.0532770000000006E-4</v>
      </c>
      <c r="F49" s="78">
        <f t="shared" ref="F49:F72" si="1">(E49*8760/2000)*$D$9</f>
        <v>2.6746706520000005E-3</v>
      </c>
      <c r="G49" s="227"/>
      <c r="H49" s="227"/>
      <c r="I49" s="227"/>
      <c r="J49" s="227"/>
      <c r="L49" s="487"/>
      <c r="O49" s="425"/>
    </row>
    <row r="50" spans="1:15">
      <c r="A50" s="227"/>
      <c r="B50" s="227"/>
      <c r="C50" s="42" t="s">
        <v>57</v>
      </c>
      <c r="D50" s="69">
        <v>2.6699999999999998E-4</v>
      </c>
      <c r="E50" s="77">
        <f t="shared" si="0"/>
        <v>2.5636005000000003E-3</v>
      </c>
      <c r="F50" s="78">
        <f t="shared" si="1"/>
        <v>2.2457140380000001E-2</v>
      </c>
      <c r="G50" s="227"/>
      <c r="H50" s="227"/>
      <c r="I50" s="227"/>
      <c r="J50" s="227"/>
      <c r="L50" s="487"/>
      <c r="O50" s="425"/>
    </row>
    <row r="51" spans="1:15">
      <c r="A51" s="227"/>
      <c r="B51" s="227"/>
      <c r="C51" s="42" t="s">
        <v>58</v>
      </c>
      <c r="D51" s="69">
        <v>2.6400000000000001E-5</v>
      </c>
      <c r="E51" s="77">
        <f t="shared" si="0"/>
        <v>2.5347960000000007E-4</v>
      </c>
      <c r="F51" s="78">
        <f t="shared" si="1"/>
        <v>2.2204812960000004E-3</v>
      </c>
      <c r="G51" s="227"/>
      <c r="H51" s="227"/>
      <c r="I51" s="227"/>
      <c r="J51" s="227"/>
      <c r="L51" s="487"/>
      <c r="O51" s="425"/>
    </row>
    <row r="52" spans="1:15">
      <c r="A52" s="227"/>
      <c r="B52" s="227"/>
      <c r="C52" s="42" t="s">
        <v>60</v>
      </c>
      <c r="D52" s="69">
        <v>2.5000000000000001E-4</v>
      </c>
      <c r="E52" s="77">
        <f t="shared" si="0"/>
        <v>2.4003750000000006E-3</v>
      </c>
      <c r="F52" s="78">
        <f t="shared" si="1"/>
        <v>2.1027285000000007E-2</v>
      </c>
      <c r="G52" s="227"/>
      <c r="H52" s="227"/>
      <c r="I52" s="227"/>
      <c r="J52" s="227"/>
      <c r="L52" s="487"/>
      <c r="O52" s="425"/>
    </row>
    <row r="53" spans="1:15">
      <c r="A53" s="227"/>
      <c r="B53" s="227"/>
      <c r="C53" s="62" t="s">
        <v>61</v>
      </c>
      <c r="D53" s="69">
        <v>8.3599999999999994E-3</v>
      </c>
      <c r="E53" s="77">
        <f t="shared" si="0"/>
        <v>8.0268540000000013E-2</v>
      </c>
      <c r="F53" s="78">
        <f t="shared" si="1"/>
        <v>0.70315241040000009</v>
      </c>
      <c r="G53" s="227"/>
      <c r="H53" s="227"/>
      <c r="I53" s="227"/>
      <c r="J53" s="227"/>
      <c r="L53" s="570"/>
      <c r="O53" s="569"/>
    </row>
    <row r="54" spans="1:15">
      <c r="A54" s="227"/>
      <c r="B54" s="227"/>
      <c r="C54" s="62" t="s">
        <v>62</v>
      </c>
      <c r="D54" s="69">
        <v>5.1399999999999996E-3</v>
      </c>
      <c r="E54" s="77">
        <f t="shared" si="0"/>
        <v>4.9351710000000007E-2</v>
      </c>
      <c r="F54" s="78">
        <f t="shared" si="1"/>
        <v>0.43232097960000004</v>
      </c>
      <c r="G54" s="227"/>
      <c r="H54" s="227"/>
      <c r="I54" s="227"/>
      <c r="J54" s="227"/>
      <c r="L54" s="570"/>
      <c r="O54" s="569"/>
    </row>
    <row r="55" spans="1:15">
      <c r="A55" s="227"/>
      <c r="B55" s="227"/>
      <c r="C55" s="62" t="s">
        <v>39</v>
      </c>
      <c r="D55" s="69">
        <v>4.4000000000000002E-4</v>
      </c>
      <c r="E55" s="77">
        <f t="shared" si="0"/>
        <v>4.2246600000000007E-3</v>
      </c>
      <c r="F55" s="78">
        <f t="shared" si="1"/>
        <v>3.7008021600000003E-2</v>
      </c>
      <c r="G55" s="227"/>
      <c r="H55" s="227"/>
      <c r="I55" s="227"/>
      <c r="J55" s="227"/>
      <c r="L55" s="570"/>
      <c r="O55" s="425"/>
    </row>
    <row r="56" spans="1:15">
      <c r="A56" s="227"/>
      <c r="B56" s="227"/>
      <c r="C56" s="62" t="s">
        <v>64</v>
      </c>
      <c r="D56" s="69">
        <v>2.12E-4</v>
      </c>
      <c r="E56" s="77">
        <f t="shared" si="0"/>
        <v>2.0355180000000005E-3</v>
      </c>
      <c r="F56" s="78">
        <f t="shared" si="1"/>
        <v>1.7831137680000005E-2</v>
      </c>
      <c r="G56" s="227"/>
      <c r="H56" s="227"/>
      <c r="I56" s="227"/>
      <c r="J56" s="227"/>
      <c r="L56" s="570"/>
      <c r="O56" s="425"/>
    </row>
    <row r="57" spans="1:15">
      <c r="A57" s="227"/>
      <c r="B57" s="227"/>
      <c r="C57" s="62" t="s">
        <v>65</v>
      </c>
      <c r="D57" s="69">
        <v>3.6699999999999998E-5</v>
      </c>
      <c r="E57" s="77">
        <f t="shared" si="0"/>
        <v>3.5237505000000006E-4</v>
      </c>
      <c r="F57" s="78">
        <f t="shared" si="1"/>
        <v>3.0868054380000002E-3</v>
      </c>
      <c r="G57" s="227"/>
      <c r="H57" s="227"/>
      <c r="I57" s="227"/>
      <c r="J57" s="227"/>
      <c r="L57" s="570"/>
      <c r="O57" s="425"/>
    </row>
    <row r="58" spans="1:15">
      <c r="A58" s="227"/>
      <c r="B58" s="227"/>
      <c r="C58" s="62" t="s">
        <v>66</v>
      </c>
      <c r="D58" s="69">
        <v>3.04E-5</v>
      </c>
      <c r="E58" s="77">
        <f t="shared" si="0"/>
        <v>2.9188560000000007E-4</v>
      </c>
      <c r="F58" s="78">
        <f t="shared" si="1"/>
        <v>2.5569178560000006E-3</v>
      </c>
      <c r="G58" s="227"/>
      <c r="H58" s="227"/>
      <c r="I58" s="227"/>
      <c r="J58" s="227"/>
      <c r="L58" s="570"/>
      <c r="O58" s="425"/>
    </row>
    <row r="59" spans="1:15">
      <c r="A59" s="227"/>
      <c r="B59" s="227"/>
      <c r="C59" s="62" t="s">
        <v>67</v>
      </c>
      <c r="D59" s="69">
        <v>2.8500000000000002E-5</v>
      </c>
      <c r="E59" s="77">
        <f t="shared" si="0"/>
        <v>2.7364275000000003E-4</v>
      </c>
      <c r="F59" s="78">
        <f t="shared" si="1"/>
        <v>2.3971104900000002E-3</v>
      </c>
      <c r="G59" s="227"/>
      <c r="H59" s="227"/>
      <c r="I59" s="227"/>
      <c r="J59" s="227"/>
      <c r="L59" s="570"/>
      <c r="O59" s="425"/>
    </row>
    <row r="60" spans="1:15">
      <c r="A60" s="227"/>
      <c r="B60" s="227"/>
      <c r="C60" s="62" t="s">
        <v>69</v>
      </c>
      <c r="D60" s="69">
        <v>4.4299999999999999E-5</v>
      </c>
      <c r="E60" s="77">
        <f t="shared" si="0"/>
        <v>4.2534645000000005E-4</v>
      </c>
      <c r="F60" s="87">
        <f t="shared" si="1"/>
        <v>3.7260349020000003E-3</v>
      </c>
      <c r="G60" s="244"/>
      <c r="H60" s="227"/>
      <c r="I60" s="227"/>
      <c r="J60" s="227"/>
      <c r="L60" s="570"/>
      <c r="O60" s="425"/>
    </row>
    <row r="61" spans="1:15" s="64" customFormat="1">
      <c r="A61" s="227"/>
      <c r="B61" s="227"/>
      <c r="C61" s="62" t="s">
        <v>40</v>
      </c>
      <c r="D61" s="69">
        <v>5.28E-2</v>
      </c>
      <c r="E61" s="77">
        <f t="shared" si="0"/>
        <v>0.50695920000000005</v>
      </c>
      <c r="F61" s="78">
        <f t="shared" si="1"/>
        <v>4.4409625920000009</v>
      </c>
      <c r="G61" s="227"/>
      <c r="H61" s="227"/>
      <c r="I61" s="227"/>
      <c r="J61" s="227"/>
      <c r="L61" s="570"/>
      <c r="O61" s="568"/>
    </row>
    <row r="62" spans="1:15" s="64" customFormat="1">
      <c r="A62" s="227"/>
      <c r="B62" s="227"/>
      <c r="C62" s="62" t="s">
        <v>70</v>
      </c>
      <c r="D62" s="69">
        <v>2.5000000000000001E-3</v>
      </c>
      <c r="E62" s="77">
        <f t="shared" si="0"/>
        <v>2.4003750000000004E-2</v>
      </c>
      <c r="F62" s="78">
        <f t="shared" si="1"/>
        <v>0.21027285000000004</v>
      </c>
      <c r="G62" s="227"/>
      <c r="H62" s="227"/>
      <c r="I62" s="227"/>
      <c r="J62" s="227"/>
      <c r="L62" s="570"/>
      <c r="O62" s="425"/>
    </row>
    <row r="63" spans="1:15" s="64" customFormat="1">
      <c r="A63" s="227"/>
      <c r="B63" s="227"/>
      <c r="C63" s="62" t="s">
        <v>71</v>
      </c>
      <c r="D63" s="69">
        <v>2.0000000000000002E-5</v>
      </c>
      <c r="E63" s="77">
        <f t="shared" si="0"/>
        <v>1.9203000000000004E-4</v>
      </c>
      <c r="F63" s="78">
        <f t="shared" si="1"/>
        <v>1.6821828000000002E-3</v>
      </c>
      <c r="G63" s="227"/>
      <c r="H63" s="227"/>
      <c r="I63" s="227"/>
      <c r="J63" s="227"/>
      <c r="L63" s="570"/>
      <c r="O63" s="425"/>
    </row>
    <row r="64" spans="1:15">
      <c r="A64" s="227"/>
      <c r="B64" s="227"/>
      <c r="C64" s="62" t="s">
        <v>72</v>
      </c>
      <c r="D64" s="69">
        <v>7.4400000000000006E-5</v>
      </c>
      <c r="E64" s="77">
        <f>$D64*$D$11</f>
        <v>7.1435160000000021E-4</v>
      </c>
      <c r="F64" s="78">
        <f t="shared" si="1"/>
        <v>6.2577200160000021E-3</v>
      </c>
      <c r="G64" s="227"/>
      <c r="H64" s="227"/>
      <c r="I64" s="227"/>
      <c r="J64" s="227"/>
      <c r="L64" s="570"/>
      <c r="O64" s="425"/>
    </row>
    <row r="65" spans="1:15" s="64" customFormat="1">
      <c r="A65" s="227"/>
      <c r="B65" s="227"/>
      <c r="C65" s="62" t="s">
        <v>41</v>
      </c>
      <c r="D65" s="69">
        <v>1.1100000000000001E-3</v>
      </c>
      <c r="E65" s="77">
        <f t="shared" si="0"/>
        <v>1.0657665000000002E-2</v>
      </c>
      <c r="F65" s="87">
        <f t="shared" si="1"/>
        <v>9.3361145400000012E-2</v>
      </c>
      <c r="G65" s="244"/>
      <c r="H65" s="227"/>
      <c r="I65" s="227"/>
      <c r="J65" s="227"/>
      <c r="L65" s="570"/>
      <c r="O65" s="425"/>
    </row>
    <row r="66" spans="1:15" s="64" customFormat="1">
      <c r="A66" s="227"/>
      <c r="B66" s="227"/>
      <c r="C66" s="62" t="s">
        <v>74</v>
      </c>
      <c r="D66" s="69">
        <v>2.4000000000000001E-5</v>
      </c>
      <c r="E66" s="77">
        <f t="shared" si="0"/>
        <v>2.3043600000000004E-4</v>
      </c>
      <c r="F66" s="78">
        <f t="shared" si="1"/>
        <v>2.01861936E-3</v>
      </c>
      <c r="G66" s="227"/>
      <c r="H66" s="227"/>
      <c r="I66" s="227"/>
      <c r="J66" s="227"/>
      <c r="L66" s="570"/>
      <c r="O66" s="425"/>
    </row>
    <row r="67" spans="1:15" s="64" customFormat="1">
      <c r="A67" s="243"/>
      <c r="B67" s="243"/>
      <c r="C67" s="63" t="s">
        <v>75</v>
      </c>
      <c r="D67" s="70">
        <v>2.3600000000000001E-5</v>
      </c>
      <c r="E67" s="79">
        <f t="shared" si="0"/>
        <v>2.2659540000000004E-4</v>
      </c>
      <c r="F67" s="80">
        <f t="shared" si="1"/>
        <v>1.9849757040000002E-3</v>
      </c>
      <c r="G67" s="243"/>
      <c r="H67" s="243"/>
      <c r="I67" s="243"/>
      <c r="J67" s="243"/>
      <c r="L67" s="570"/>
      <c r="O67" s="425"/>
    </row>
    <row r="68" spans="1:15">
      <c r="A68" s="243"/>
      <c r="B68" s="243"/>
      <c r="C68" s="63" t="s">
        <v>79</v>
      </c>
      <c r="D68" s="70">
        <v>2.48E-6</v>
      </c>
      <c r="E68" s="74">
        <f t="shared" si="0"/>
        <v>2.3811720000000002E-5</v>
      </c>
      <c r="F68" s="67">
        <f t="shared" si="1"/>
        <v>2.0859066720000004E-4</v>
      </c>
      <c r="G68" s="243"/>
      <c r="H68" s="243"/>
      <c r="I68" s="243"/>
      <c r="J68" s="243"/>
      <c r="L68" s="570"/>
      <c r="O68" s="425"/>
    </row>
    <row r="69" spans="1:15">
      <c r="A69" s="243"/>
      <c r="B69" s="243"/>
      <c r="C69" s="63" t="s">
        <v>51</v>
      </c>
      <c r="D69" s="70">
        <v>4.08E-4</v>
      </c>
      <c r="E69" s="82">
        <f t="shared" si="0"/>
        <v>3.9174120000000003E-3</v>
      </c>
      <c r="F69" s="80">
        <f t="shared" si="1"/>
        <v>3.4316529120000008E-2</v>
      </c>
      <c r="G69" s="243"/>
      <c r="H69" s="243"/>
      <c r="I69" s="243"/>
      <c r="J69" s="243"/>
      <c r="L69" s="570"/>
      <c r="O69" s="425"/>
    </row>
    <row r="70" spans="1:15">
      <c r="A70" s="243"/>
      <c r="B70" s="243"/>
      <c r="C70" s="63" t="s">
        <v>76</v>
      </c>
      <c r="D70" s="70">
        <v>1.49E-5</v>
      </c>
      <c r="E70" s="82">
        <f t="shared" si="0"/>
        <v>1.4306235000000002E-4</v>
      </c>
      <c r="F70" s="67">
        <f t="shared" si="1"/>
        <v>1.2532261860000002E-3</v>
      </c>
      <c r="G70" s="243"/>
      <c r="H70" s="243"/>
      <c r="I70" s="243"/>
      <c r="J70" s="243"/>
      <c r="L70" s="570"/>
      <c r="O70" s="425"/>
    </row>
    <row r="71" spans="1:15">
      <c r="A71" s="243"/>
      <c r="B71" s="243"/>
      <c r="C71" s="63" t="s">
        <v>77</v>
      </c>
      <c r="D71" s="70">
        <v>1.84E-4</v>
      </c>
      <c r="E71" s="79">
        <f t="shared" si="0"/>
        <v>1.7666760000000002E-3</v>
      </c>
      <c r="F71" s="81">
        <f t="shared" si="1"/>
        <v>1.5476081760000001E-2</v>
      </c>
      <c r="G71" s="243"/>
      <c r="H71" s="243"/>
      <c r="I71" s="243"/>
      <c r="J71" s="243"/>
      <c r="L71" s="570"/>
      <c r="O71" s="425"/>
    </row>
    <row r="72" spans="1:15">
      <c r="A72" s="243"/>
      <c r="B72" s="243"/>
      <c r="C72" s="63" t="s">
        <v>42</v>
      </c>
      <c r="D72" s="71" t="s">
        <v>15</v>
      </c>
      <c r="E72" s="74">
        <f>SUM(E73:E84)</f>
        <v>9.5926666200000024E-4</v>
      </c>
      <c r="F72" s="80">
        <f t="shared" si="1"/>
        <v>8.4031759591200027E-3</v>
      </c>
      <c r="G72" s="243"/>
      <c r="H72" s="243"/>
      <c r="I72" s="243"/>
      <c r="J72" s="243"/>
      <c r="L72" s="570"/>
      <c r="O72" s="425"/>
    </row>
    <row r="73" spans="1:15">
      <c r="A73" s="227"/>
      <c r="B73" s="227"/>
      <c r="C73" s="65" t="s">
        <v>59</v>
      </c>
      <c r="D73" s="69">
        <v>3.3200000000000001E-5</v>
      </c>
      <c r="E73" s="83">
        <f t="shared" si="0"/>
        <v>3.1876980000000005E-4</v>
      </c>
      <c r="F73" s="84" t="s">
        <v>15</v>
      </c>
      <c r="G73" s="227"/>
      <c r="H73" s="227"/>
      <c r="I73" s="227"/>
      <c r="J73" s="227"/>
      <c r="L73" s="1"/>
    </row>
    <row r="74" spans="1:15">
      <c r="A74" s="227"/>
      <c r="B74" s="227"/>
      <c r="C74" s="65" t="s">
        <v>43</v>
      </c>
      <c r="D74" s="69">
        <v>1.2500000000000001E-6</v>
      </c>
      <c r="E74" s="77">
        <f t="shared" si="0"/>
        <v>1.2001875000000003E-5</v>
      </c>
      <c r="F74" s="85" t="s">
        <v>15</v>
      </c>
      <c r="G74" s="227"/>
      <c r="H74" s="227"/>
      <c r="I74" s="227"/>
      <c r="J74" s="227"/>
      <c r="L74" s="1"/>
    </row>
    <row r="75" spans="1:15">
      <c r="A75" s="227"/>
      <c r="B75" s="227"/>
      <c r="C75" s="65" t="s">
        <v>44</v>
      </c>
      <c r="D75" s="69">
        <v>5.5300000000000004E-6</v>
      </c>
      <c r="E75" s="73">
        <f t="shared" si="0"/>
        <v>5.3096295000000015E-5</v>
      </c>
      <c r="F75" s="85" t="s">
        <v>15</v>
      </c>
      <c r="G75" s="227"/>
      <c r="H75" s="227"/>
      <c r="I75" s="227"/>
      <c r="J75" s="227"/>
      <c r="L75" s="1"/>
    </row>
    <row r="76" spans="1:15">
      <c r="A76" s="227"/>
      <c r="B76" s="227"/>
      <c r="C76" s="65" t="s">
        <v>45</v>
      </c>
      <c r="D76" s="69">
        <v>1.66E-7</v>
      </c>
      <c r="E76" s="83">
        <f t="shared" si="0"/>
        <v>1.5938490000000004E-6</v>
      </c>
      <c r="F76" s="85" t="s">
        <v>15</v>
      </c>
      <c r="G76" s="227"/>
      <c r="H76" s="227"/>
      <c r="I76" s="227"/>
      <c r="J76" s="227"/>
      <c r="L76" s="1"/>
    </row>
    <row r="77" spans="1:15">
      <c r="A77" s="227"/>
      <c r="B77" s="227"/>
      <c r="C77" s="65" t="s">
        <v>46</v>
      </c>
      <c r="D77" s="69">
        <v>4.1399999999999997E-7</v>
      </c>
      <c r="E77" s="77">
        <f t="shared" si="0"/>
        <v>3.975021E-6</v>
      </c>
      <c r="F77" s="85" t="s">
        <v>15</v>
      </c>
      <c r="G77" s="227"/>
      <c r="H77" s="227"/>
      <c r="I77" s="227"/>
      <c r="J77" s="227"/>
      <c r="L77" s="1"/>
    </row>
    <row r="78" spans="1:15">
      <c r="A78" s="227"/>
      <c r="B78" s="227"/>
      <c r="C78" s="65" t="s">
        <v>63</v>
      </c>
      <c r="D78" s="69">
        <v>4.15E-7</v>
      </c>
      <c r="E78" s="77">
        <f>$D78*$D$11</f>
        <v>3.9846225000000007E-6</v>
      </c>
      <c r="F78" s="85" t="s">
        <v>15</v>
      </c>
      <c r="G78" s="227"/>
      <c r="H78" s="227"/>
      <c r="I78" s="227"/>
      <c r="J78" s="227"/>
      <c r="L78" s="1"/>
    </row>
    <row r="79" spans="1:15">
      <c r="A79" s="227"/>
      <c r="B79" s="227"/>
      <c r="C79" s="65" t="s">
        <v>47</v>
      </c>
      <c r="D79" s="69">
        <v>6.9299999999999997E-7</v>
      </c>
      <c r="E79" s="73">
        <f t="shared" si="0"/>
        <v>6.6538395000000011E-6</v>
      </c>
      <c r="F79" s="85" t="s">
        <v>15</v>
      </c>
      <c r="G79" s="227"/>
      <c r="H79" s="227"/>
      <c r="I79" s="227"/>
      <c r="J79" s="227"/>
      <c r="L79" s="1"/>
    </row>
    <row r="80" spans="1:15">
      <c r="A80" s="227"/>
      <c r="B80" s="227"/>
      <c r="C80" s="65" t="s">
        <v>68</v>
      </c>
      <c r="D80" s="69">
        <v>3.9700000000000003E-5</v>
      </c>
      <c r="E80" s="77">
        <f>$D80*$D$11</f>
        <v>3.8117955000000007E-4</v>
      </c>
      <c r="F80" s="86" t="s">
        <v>15</v>
      </c>
      <c r="G80" s="227"/>
      <c r="H80" s="227"/>
      <c r="I80" s="227"/>
      <c r="J80" s="227"/>
      <c r="L80" s="1"/>
    </row>
    <row r="81" spans="1:12">
      <c r="A81" s="227"/>
      <c r="B81" s="227"/>
      <c r="C81" s="65" t="s">
        <v>48</v>
      </c>
      <c r="D81" s="69">
        <v>1.11E-6</v>
      </c>
      <c r="E81" s="77">
        <f t="shared" si="0"/>
        <v>1.0657665000000001E-5</v>
      </c>
      <c r="F81" s="86" t="s">
        <v>15</v>
      </c>
      <c r="G81" s="227"/>
      <c r="H81" s="227"/>
      <c r="I81" s="227"/>
      <c r="J81" s="227"/>
      <c r="L81" s="1"/>
    </row>
    <row r="82" spans="1:12">
      <c r="A82" s="227"/>
      <c r="B82" s="227"/>
      <c r="C82" s="65" t="s">
        <v>49</v>
      </c>
      <c r="D82" s="69">
        <v>5.6699999999999999E-6</v>
      </c>
      <c r="E82" s="77">
        <f t="shared" si="0"/>
        <v>5.4440505000000009E-5</v>
      </c>
      <c r="F82" s="84" t="s">
        <v>15</v>
      </c>
      <c r="G82" s="227"/>
      <c r="H82" s="227"/>
      <c r="I82" s="227"/>
      <c r="J82" s="227"/>
      <c r="L82" s="1"/>
    </row>
    <row r="83" spans="1:12">
      <c r="A83" s="227"/>
      <c r="B83" s="227"/>
      <c r="C83" s="66" t="s">
        <v>73</v>
      </c>
      <c r="D83" s="72">
        <v>1.04E-5</v>
      </c>
      <c r="E83" s="77">
        <f t="shared" si="0"/>
        <v>9.9855600000000013E-5</v>
      </c>
      <c r="F83" s="85" t="s">
        <v>15</v>
      </c>
      <c r="G83" s="227"/>
      <c r="H83" s="227"/>
      <c r="I83" s="227"/>
      <c r="J83" s="227"/>
      <c r="L83" s="1"/>
    </row>
    <row r="84" spans="1:12" ht="15.75" thickBot="1">
      <c r="A84" s="227"/>
      <c r="B84" s="227"/>
      <c r="C84" s="66" t="s">
        <v>50</v>
      </c>
      <c r="D84" s="72">
        <v>1.3599999999999999E-6</v>
      </c>
      <c r="E84" s="73">
        <f t="shared" si="0"/>
        <v>1.305804E-5</v>
      </c>
      <c r="F84" s="472" t="s">
        <v>15</v>
      </c>
      <c r="G84" s="227"/>
      <c r="H84" s="227"/>
      <c r="I84" s="227"/>
      <c r="J84" s="227"/>
      <c r="L84" s="1"/>
    </row>
    <row r="85" spans="1:12" ht="15.75" thickBot="1">
      <c r="A85" s="227"/>
      <c r="B85" s="227"/>
      <c r="C85" s="523"/>
      <c r="D85" s="524"/>
      <c r="E85" s="525" t="s">
        <v>53</v>
      </c>
      <c r="F85" s="526">
        <f>SUM(F48:F84)</f>
        <v>6.0700210498663214</v>
      </c>
      <c r="G85" s="227"/>
      <c r="H85" s="227"/>
      <c r="I85" s="227"/>
      <c r="J85" s="227"/>
      <c r="L85" s="1"/>
    </row>
    <row r="86" spans="1:12" s="227" customFormat="1">
      <c r="C86" s="245"/>
      <c r="D86" s="241"/>
      <c r="E86" s="398"/>
      <c r="F86" s="499"/>
      <c r="L86" s="245"/>
    </row>
    <row r="87" spans="1:12" s="372" customFormat="1">
      <c r="A87" s="227"/>
      <c r="B87" s="227"/>
      <c r="C87" s="407" t="s">
        <v>320</v>
      </c>
      <c r="D87" s="500"/>
      <c r="E87" s="501"/>
      <c r="F87" s="502"/>
      <c r="G87" s="408"/>
      <c r="H87" s="408"/>
      <c r="I87" s="408"/>
      <c r="J87" s="227"/>
      <c r="L87" s="1"/>
    </row>
    <row r="88" spans="1:12" s="372" customFormat="1">
      <c r="A88" s="227"/>
      <c r="B88" s="434"/>
      <c r="C88" s="241" t="s">
        <v>340</v>
      </c>
      <c r="D88" s="241"/>
      <c r="E88" s="398"/>
      <c r="F88" s="499"/>
      <c r="G88" s="245"/>
      <c r="H88" s="245"/>
      <c r="I88" s="245"/>
      <c r="J88" s="227"/>
      <c r="L88" s="1"/>
    </row>
    <row r="89" spans="1:12">
      <c r="A89" s="227"/>
      <c r="B89" s="245"/>
      <c r="C89" s="487" t="s">
        <v>327</v>
      </c>
      <c r="D89" s="240"/>
      <c r="E89" s="240"/>
      <c r="F89" s="240"/>
      <c r="G89" s="240"/>
      <c r="H89" s="240"/>
      <c r="I89" s="227"/>
      <c r="J89" s="227"/>
      <c r="L89" s="1"/>
    </row>
    <row r="90" spans="1:12">
      <c r="A90" s="227"/>
      <c r="B90" s="227"/>
      <c r="C90" s="487" t="s">
        <v>404</v>
      </c>
      <c r="D90" s="240"/>
      <c r="E90" s="240"/>
      <c r="F90" s="240"/>
      <c r="G90" s="240"/>
      <c r="H90" s="240"/>
      <c r="I90" s="227"/>
      <c r="J90" s="227"/>
      <c r="L90" s="1"/>
    </row>
    <row r="91" spans="1:12">
      <c r="A91" s="227"/>
      <c r="B91" s="227"/>
      <c r="C91" s="487" t="s">
        <v>333</v>
      </c>
      <c r="D91" s="240"/>
      <c r="E91" s="240"/>
      <c r="F91" s="240"/>
      <c r="G91" s="240"/>
      <c r="H91" s="240"/>
      <c r="I91" s="227"/>
      <c r="J91" s="227"/>
      <c r="L91" s="1"/>
    </row>
    <row r="92" spans="1:12">
      <c r="A92" s="227"/>
      <c r="B92" s="227"/>
      <c r="C92" s="240" t="s">
        <v>334</v>
      </c>
      <c r="D92" s="240"/>
      <c r="E92" s="240"/>
      <c r="F92" s="240"/>
      <c r="G92" s="240"/>
      <c r="H92" s="240"/>
      <c r="I92" s="227"/>
      <c r="J92" s="227"/>
      <c r="L92" s="1"/>
    </row>
    <row r="93" spans="1:12">
      <c r="A93" s="227"/>
      <c r="B93" s="227"/>
      <c r="C93" s="240" t="s">
        <v>343</v>
      </c>
      <c r="D93" s="240"/>
      <c r="E93" s="240"/>
      <c r="F93" s="240"/>
      <c r="G93" s="240"/>
      <c r="H93" s="240"/>
      <c r="I93" s="227"/>
      <c r="J93" s="227"/>
      <c r="L93" s="1"/>
    </row>
    <row r="94" spans="1:12">
      <c r="A94" s="227"/>
      <c r="B94" s="227"/>
      <c r="C94" s="240" t="s">
        <v>337</v>
      </c>
      <c r="D94" s="240"/>
      <c r="E94" s="240"/>
      <c r="F94" s="240"/>
      <c r="G94" s="240"/>
      <c r="H94" s="240"/>
      <c r="I94" s="227"/>
      <c r="J94" s="227"/>
      <c r="L94" s="1"/>
    </row>
    <row r="95" spans="1:12">
      <c r="A95" s="227"/>
      <c r="B95" s="227"/>
      <c r="C95" s="512" t="s">
        <v>116</v>
      </c>
      <c r="D95" s="225"/>
      <c r="E95" s="225"/>
      <c r="F95" s="225"/>
      <c r="G95" s="225"/>
      <c r="H95" s="225"/>
      <c r="I95" s="225"/>
      <c r="J95" s="227"/>
    </row>
    <row r="96" spans="1:12">
      <c r="A96" s="227"/>
      <c r="B96" s="227"/>
      <c r="C96" s="512" t="s">
        <v>117</v>
      </c>
      <c r="D96" s="225"/>
      <c r="E96" s="225"/>
      <c r="F96" s="225"/>
      <c r="G96" s="225"/>
      <c r="H96" s="225"/>
      <c r="I96" s="225"/>
      <c r="J96" s="505"/>
    </row>
    <row r="97" spans="1:10">
      <c r="A97" s="227"/>
      <c r="B97" s="227"/>
      <c r="C97" s="512" t="s">
        <v>118</v>
      </c>
      <c r="D97" s="225"/>
      <c r="E97" s="225"/>
      <c r="F97" s="225"/>
      <c r="G97" s="225"/>
      <c r="H97" s="225"/>
      <c r="I97" s="225"/>
      <c r="J97" s="505"/>
    </row>
    <row r="98" spans="1:10">
      <c r="A98" s="227"/>
      <c r="B98" s="508"/>
      <c r="C98" s="512" t="s">
        <v>351</v>
      </c>
      <c r="D98" s="225"/>
      <c r="E98" s="225"/>
      <c r="F98" s="225"/>
      <c r="G98" s="225"/>
      <c r="H98" s="225"/>
      <c r="I98" s="225"/>
      <c r="J98" s="505"/>
    </row>
    <row r="99" spans="1:10">
      <c r="A99" s="227"/>
      <c r="B99" s="227"/>
      <c r="C99" s="225" t="s">
        <v>389</v>
      </c>
      <c r="D99" s="227"/>
      <c r="E99" s="227"/>
      <c r="F99" s="227"/>
      <c r="G99" s="227"/>
      <c r="H99" s="227"/>
      <c r="I99" s="227"/>
      <c r="J99" s="227"/>
    </row>
    <row r="100" spans="1:10">
      <c r="A100" s="227"/>
      <c r="B100" s="227"/>
      <c r="C100" s="225" t="s">
        <v>113</v>
      </c>
      <c r="D100" s="505"/>
      <c r="E100" s="505"/>
      <c r="F100" s="505"/>
      <c r="G100" s="505"/>
      <c r="H100" s="505"/>
      <c r="I100" s="505"/>
      <c r="J100" s="227"/>
    </row>
    <row r="101" spans="1:10" s="372" customFormat="1">
      <c r="A101" s="227"/>
      <c r="B101" s="227"/>
      <c r="C101" s="225" t="s">
        <v>435</v>
      </c>
      <c r="D101" s="505"/>
      <c r="E101" s="505"/>
      <c r="F101" s="505"/>
      <c r="G101" s="505"/>
      <c r="H101" s="505"/>
      <c r="I101" s="505"/>
      <c r="J101" s="227"/>
    </row>
    <row r="102" spans="1:10">
      <c r="A102" s="227"/>
      <c r="B102" s="227"/>
      <c r="C102" s="227"/>
      <c r="D102" s="505"/>
      <c r="E102" s="505"/>
      <c r="F102" s="505"/>
      <c r="G102" s="505"/>
      <c r="H102" s="505"/>
      <c r="I102" s="505"/>
      <c r="J102" s="227"/>
    </row>
    <row r="103" spans="1:10">
      <c r="A103" s="227"/>
      <c r="C103" s="504" t="s">
        <v>123</v>
      </c>
      <c r="D103" s="505"/>
      <c r="E103" s="505"/>
      <c r="F103" s="505"/>
      <c r="G103" s="505"/>
      <c r="H103" s="505"/>
      <c r="I103" s="505"/>
      <c r="J103" s="227"/>
    </row>
    <row r="104" spans="1:10">
      <c r="A104" s="227"/>
      <c r="B104" s="506" t="s">
        <v>329</v>
      </c>
      <c r="C104" s="507" t="s">
        <v>330</v>
      </c>
      <c r="D104" s="505"/>
      <c r="E104" s="505"/>
      <c r="F104" s="505"/>
      <c r="G104" s="505"/>
      <c r="H104" s="505"/>
      <c r="I104" s="505"/>
      <c r="J104" s="227"/>
    </row>
    <row r="105" spans="1:10">
      <c r="A105" s="227"/>
      <c r="C105" s="507" t="s">
        <v>331</v>
      </c>
      <c r="D105" s="225"/>
      <c r="E105" s="225"/>
      <c r="F105" s="225"/>
      <c r="G105" s="225"/>
      <c r="H105" s="225"/>
      <c r="I105" s="510"/>
      <c r="J105" s="227"/>
    </row>
    <row r="106" spans="1:10">
      <c r="A106" s="227"/>
      <c r="B106" s="227"/>
      <c r="C106" s="509" t="s">
        <v>332</v>
      </c>
      <c r="D106" s="225"/>
      <c r="E106" s="225"/>
      <c r="F106" s="225"/>
      <c r="G106" s="225"/>
      <c r="H106" s="225"/>
      <c r="I106" s="227"/>
      <c r="J106" s="227"/>
    </row>
    <row r="107" spans="1:10">
      <c r="A107" s="227"/>
      <c r="B107" s="506" t="s">
        <v>364</v>
      </c>
      <c r="C107" s="225" t="s">
        <v>363</v>
      </c>
      <c r="D107" s="225"/>
      <c r="E107" s="225"/>
      <c r="F107" s="225"/>
      <c r="G107" s="225"/>
      <c r="H107" s="225"/>
      <c r="I107" s="227"/>
      <c r="J107" s="227"/>
    </row>
    <row r="108" spans="1:10">
      <c r="A108" s="227"/>
      <c r="B108" s="227"/>
      <c r="C108" s="225" t="s">
        <v>133</v>
      </c>
      <c r="D108" s="227"/>
      <c r="E108" s="227"/>
      <c r="F108" s="227"/>
      <c r="G108" s="227"/>
      <c r="H108" s="227"/>
      <c r="I108" s="227"/>
      <c r="J108" s="227"/>
    </row>
    <row r="109" spans="1:10">
      <c r="A109" s="227"/>
      <c r="B109" s="227"/>
      <c r="C109" s="225" t="s">
        <v>134</v>
      </c>
      <c r="D109" s="227"/>
      <c r="E109" s="227"/>
      <c r="F109" s="227"/>
      <c r="G109" s="227"/>
      <c r="H109" s="227"/>
      <c r="I109" s="227"/>
      <c r="J109" s="227"/>
    </row>
    <row r="110" spans="1:10">
      <c r="A110" s="227"/>
      <c r="B110" s="227"/>
      <c r="C110" s="227"/>
      <c r="D110" s="227"/>
      <c r="E110" s="227"/>
      <c r="F110" s="227"/>
      <c r="G110" s="227"/>
      <c r="H110" s="227"/>
      <c r="I110" s="227"/>
      <c r="J110" s="227"/>
    </row>
    <row r="111" spans="1:10">
      <c r="C111" s="227"/>
    </row>
  </sheetData>
  <mergeCells count="8">
    <mergeCell ref="F46:F47"/>
    <mergeCell ref="C31:E32"/>
    <mergeCell ref="C18:E19"/>
    <mergeCell ref="C6:E7"/>
    <mergeCell ref="C28:C29"/>
    <mergeCell ref="E46:E47"/>
    <mergeCell ref="D46:D47"/>
    <mergeCell ref="C46:C47"/>
  </mergeCells>
  <pageMargins left="0.7" right="0.7" top="0.75" bottom="0.75" header="0.3" footer="0.3"/>
  <pageSetup paperSize="17" scale="67" orientation="portrait"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05"/>
  <sheetViews>
    <sheetView view="pageBreakPreview" topLeftCell="A25" zoomScaleNormal="100" zoomScaleSheetLayoutView="100" workbookViewId="0">
      <selection activeCell="B2" sqref="B2"/>
    </sheetView>
  </sheetViews>
  <sheetFormatPr defaultRowHeight="15"/>
  <cols>
    <col min="1" max="1" width="1.7109375" customWidth="1"/>
    <col min="3" max="3" width="29.85546875" customWidth="1"/>
    <col min="4" max="4" width="12.28515625" customWidth="1"/>
    <col min="5" max="6" width="11.7109375" customWidth="1"/>
    <col min="7" max="7" width="10.42578125" customWidth="1"/>
    <col min="9" max="9" width="1.7109375" customWidth="1"/>
  </cols>
  <sheetData>
    <row r="1" spans="1:13" ht="18.75">
      <c r="A1" s="225"/>
      <c r="B1" s="226" t="s">
        <v>196</v>
      </c>
      <c r="C1" s="226"/>
      <c r="D1" s="226"/>
      <c r="E1" s="225"/>
      <c r="F1" s="225"/>
      <c r="G1" s="225"/>
      <c r="H1" s="225"/>
      <c r="I1" s="225"/>
      <c r="J1" s="225"/>
      <c r="K1" s="227"/>
      <c r="L1" s="227"/>
      <c r="M1" s="227"/>
    </row>
    <row r="2" spans="1:13">
      <c r="A2" s="225"/>
      <c r="B2" s="90" t="s">
        <v>457</v>
      </c>
      <c r="C2" s="228"/>
      <c r="D2" s="228"/>
      <c r="E2" s="229"/>
      <c r="F2" s="229"/>
      <c r="G2" s="229"/>
      <c r="H2" s="229"/>
      <c r="I2" s="230"/>
      <c r="J2" s="225"/>
      <c r="K2" s="227"/>
      <c r="L2" s="227"/>
      <c r="M2" s="227"/>
    </row>
    <row r="3" spans="1:13">
      <c r="A3" s="231"/>
      <c r="B3" s="232"/>
      <c r="C3" s="233"/>
      <c r="D3" s="233"/>
      <c r="E3" s="233"/>
      <c r="F3" s="233"/>
      <c r="G3" s="233"/>
      <c r="H3" s="233"/>
      <c r="I3" s="234"/>
      <c r="J3" s="234"/>
      <c r="K3" s="227"/>
      <c r="L3" s="227"/>
      <c r="M3" s="227"/>
    </row>
    <row r="4" spans="1:13">
      <c r="A4" s="231"/>
      <c r="B4" s="235" t="s">
        <v>252</v>
      </c>
      <c r="C4" s="236"/>
      <c r="D4" s="236"/>
      <c r="E4" s="236"/>
      <c r="F4" s="236"/>
      <c r="G4" s="236"/>
      <c r="H4" s="237"/>
      <c r="I4" s="234"/>
      <c r="J4" s="234"/>
      <c r="K4" s="227"/>
      <c r="L4" s="227"/>
      <c r="M4" s="227"/>
    </row>
    <row r="5" spans="1:13" ht="29.25" customHeight="1">
      <c r="A5" s="227"/>
      <c r="B5" s="227"/>
      <c r="C5" s="238"/>
      <c r="D5" s="227"/>
      <c r="E5" s="227"/>
      <c r="F5" s="227"/>
      <c r="G5" s="227"/>
      <c r="H5" s="227"/>
      <c r="I5" s="245"/>
      <c r="J5" s="227"/>
      <c r="K5" s="227"/>
      <c r="L5" s="227"/>
      <c r="M5" s="227"/>
    </row>
    <row r="6" spans="1:13" ht="15.75" thickBot="1">
      <c r="A6" s="227"/>
      <c r="B6" s="227"/>
      <c r="C6" s="227"/>
      <c r="D6" s="227"/>
      <c r="E6" s="227"/>
      <c r="F6" s="227"/>
      <c r="G6" s="227"/>
      <c r="H6" s="227"/>
      <c r="I6" s="227"/>
      <c r="J6" s="227"/>
      <c r="K6" s="227"/>
      <c r="L6" s="227"/>
      <c r="M6" s="227"/>
    </row>
    <row r="7" spans="1:13" ht="48" customHeight="1" thickBot="1">
      <c r="A7" s="227"/>
      <c r="B7" s="227"/>
      <c r="C7" s="15" t="s">
        <v>9</v>
      </c>
      <c r="D7" s="710" t="s">
        <v>354</v>
      </c>
      <c r="E7" s="711"/>
      <c r="F7" s="240"/>
      <c r="G7" s="240"/>
      <c r="H7" s="240"/>
      <c r="I7" s="240"/>
      <c r="J7" s="227"/>
      <c r="K7" s="227"/>
      <c r="L7" s="227"/>
      <c r="M7" s="227"/>
    </row>
    <row r="8" spans="1:13" ht="27.75" customHeight="1">
      <c r="A8" s="227"/>
      <c r="B8" s="227"/>
      <c r="C8" s="358" t="s">
        <v>253</v>
      </c>
      <c r="D8" s="359">
        <v>760</v>
      </c>
      <c r="E8" s="26" t="s">
        <v>10</v>
      </c>
      <c r="F8" s="240"/>
      <c r="G8" s="240"/>
      <c r="H8" s="240"/>
      <c r="I8" s="240"/>
      <c r="J8" s="227"/>
      <c r="K8" s="227"/>
      <c r="L8" s="227"/>
      <c r="M8" s="227"/>
    </row>
    <row r="9" spans="1:13" ht="39" customHeight="1">
      <c r="A9" s="227"/>
      <c r="B9" s="227"/>
      <c r="C9" s="360" t="s">
        <v>254</v>
      </c>
      <c r="D9" s="361">
        <v>600</v>
      </c>
      <c r="E9" s="27" t="s">
        <v>10</v>
      </c>
      <c r="F9" s="240"/>
      <c r="G9" s="240"/>
      <c r="H9" s="240"/>
      <c r="I9" s="240"/>
      <c r="J9" s="227"/>
      <c r="K9" s="227"/>
      <c r="L9" s="227"/>
      <c r="M9" s="227"/>
    </row>
    <row r="10" spans="1:13" ht="39">
      <c r="A10" s="227"/>
      <c r="B10" s="239"/>
      <c r="C10" s="362" t="s">
        <v>255</v>
      </c>
      <c r="D10" s="363">
        <v>140</v>
      </c>
      <c r="E10" s="49" t="s">
        <v>10</v>
      </c>
      <c r="F10" s="240"/>
      <c r="G10" s="240"/>
      <c r="H10" s="240"/>
      <c r="I10" s="240"/>
      <c r="J10" s="227"/>
      <c r="K10" s="227"/>
      <c r="L10" s="227"/>
      <c r="M10" s="227"/>
    </row>
    <row r="11" spans="1:13" ht="39.75" thickBot="1">
      <c r="A11" s="227"/>
      <c r="B11" s="239"/>
      <c r="C11" s="364" t="s">
        <v>256</v>
      </c>
      <c r="D11" s="365">
        <v>200</v>
      </c>
      <c r="E11" s="52" t="s">
        <v>10</v>
      </c>
      <c r="F11" s="240"/>
      <c r="G11" s="240"/>
      <c r="H11" s="240"/>
      <c r="I11" s="240"/>
      <c r="J11" s="227"/>
      <c r="K11" s="227"/>
      <c r="L11" s="227"/>
      <c r="M11" s="227"/>
    </row>
    <row r="12" spans="1:13" ht="15.75" thickBot="1">
      <c r="A12" s="227"/>
      <c r="B12" s="352"/>
      <c r="C12" s="366"/>
      <c r="D12" s="241"/>
      <c r="E12" s="367"/>
      <c r="F12" s="240"/>
      <c r="G12" s="240"/>
      <c r="H12" s="240"/>
      <c r="I12" s="240"/>
      <c r="J12" s="227"/>
      <c r="K12" s="227"/>
      <c r="L12" s="227"/>
      <c r="M12" s="227"/>
    </row>
    <row r="13" spans="1:13" ht="16.5" thickBot="1">
      <c r="A13" s="227"/>
      <c r="B13" s="239"/>
      <c r="C13" s="395" t="s">
        <v>257</v>
      </c>
      <c r="D13" s="396" t="s">
        <v>274</v>
      </c>
      <c r="E13" s="396" t="s">
        <v>275</v>
      </c>
      <c r="F13" s="397" t="s">
        <v>276</v>
      </c>
      <c r="G13" s="240"/>
      <c r="H13" s="240"/>
      <c r="I13" s="240"/>
      <c r="J13" s="227"/>
      <c r="K13" s="227"/>
      <c r="L13" s="227"/>
      <c r="M13" s="227"/>
    </row>
    <row r="14" spans="1:13">
      <c r="A14" s="227"/>
      <c r="B14" s="239"/>
      <c r="C14" s="354" t="s">
        <v>287</v>
      </c>
      <c r="D14" s="355">
        <v>0.06</v>
      </c>
      <c r="E14" s="356">
        <v>0.06</v>
      </c>
      <c r="F14" s="368">
        <v>6.8000000000000005E-2</v>
      </c>
      <c r="G14" s="240"/>
      <c r="H14" s="240"/>
      <c r="I14" s="240"/>
      <c r="J14" s="227"/>
      <c r="K14" s="227"/>
      <c r="L14" s="227"/>
      <c r="M14" s="227"/>
    </row>
    <row r="15" spans="1:13">
      <c r="A15" s="227"/>
      <c r="B15" s="239"/>
      <c r="C15" s="354" t="s">
        <v>258</v>
      </c>
      <c r="D15" s="355">
        <v>0.15</v>
      </c>
      <c r="E15" s="521">
        <v>0.3</v>
      </c>
      <c r="F15" s="368">
        <v>0.37</v>
      </c>
      <c r="G15" s="240"/>
      <c r="H15" s="240"/>
      <c r="I15" s="240"/>
      <c r="J15" s="227"/>
      <c r="K15" s="227"/>
      <c r="L15" s="227"/>
      <c r="M15" s="227"/>
    </row>
    <row r="16" spans="1:13">
      <c r="A16" s="227"/>
      <c r="B16" s="239"/>
      <c r="C16" s="354" t="s">
        <v>259</v>
      </c>
      <c r="D16" s="355">
        <v>0.08</v>
      </c>
      <c r="E16" s="355">
        <v>0.08</v>
      </c>
      <c r="F16" s="368">
        <v>0.14000000000000001</v>
      </c>
      <c r="G16" s="240"/>
      <c r="H16" s="240"/>
      <c r="I16" s="240"/>
      <c r="J16" s="227"/>
      <c r="K16" s="227"/>
      <c r="L16" s="227"/>
      <c r="M16" s="227"/>
    </row>
    <row r="17" spans="1:13" ht="15.75">
      <c r="A17" s="227"/>
      <c r="B17" s="239"/>
      <c r="C17" s="354" t="s">
        <v>359</v>
      </c>
      <c r="D17" s="355">
        <v>60</v>
      </c>
      <c r="E17" s="357" t="s">
        <v>15</v>
      </c>
      <c r="F17" s="368" t="s">
        <v>15</v>
      </c>
      <c r="G17" s="240"/>
      <c r="H17" s="240"/>
      <c r="I17" s="240"/>
      <c r="J17" s="227"/>
      <c r="K17" s="227"/>
      <c r="L17" s="227"/>
      <c r="M17" s="227"/>
    </row>
    <row r="18" spans="1:13" ht="15.75">
      <c r="A18" s="227"/>
      <c r="B18" s="239"/>
      <c r="C18" s="354" t="s">
        <v>360</v>
      </c>
      <c r="D18" s="355">
        <v>60</v>
      </c>
      <c r="E18" s="355" t="s">
        <v>15</v>
      </c>
      <c r="F18" s="368" t="s">
        <v>15</v>
      </c>
      <c r="G18" s="240"/>
      <c r="H18" s="240"/>
      <c r="I18" s="240"/>
      <c r="J18" s="227"/>
      <c r="K18" s="227"/>
      <c r="L18" s="227"/>
      <c r="M18" s="227"/>
    </row>
    <row r="19" spans="1:13" ht="15.75">
      <c r="A19" s="227"/>
      <c r="B19" s="239"/>
      <c r="C19" s="354" t="s">
        <v>361</v>
      </c>
      <c r="D19" s="353">
        <v>60</v>
      </c>
      <c r="E19" s="353" t="s">
        <v>15</v>
      </c>
      <c r="F19" s="368" t="s">
        <v>15</v>
      </c>
      <c r="G19" s="240"/>
      <c r="H19" s="240"/>
      <c r="I19" s="240"/>
      <c r="J19" s="227"/>
      <c r="K19" s="227"/>
      <c r="L19" s="227"/>
      <c r="M19" s="227"/>
    </row>
    <row r="20" spans="1:13" s="371" customFormat="1" ht="15.75">
      <c r="A20" s="227"/>
      <c r="B20" s="239"/>
      <c r="C20" s="354" t="s">
        <v>367</v>
      </c>
      <c r="D20" s="515">
        <v>116.98</v>
      </c>
      <c r="E20" s="515">
        <v>116.98</v>
      </c>
      <c r="F20" s="516">
        <v>116.98</v>
      </c>
      <c r="G20" s="240"/>
      <c r="H20" s="240"/>
      <c r="I20" s="240"/>
      <c r="J20" s="227"/>
      <c r="K20" s="227"/>
      <c r="L20" s="227"/>
      <c r="M20" s="227"/>
    </row>
    <row r="21" spans="1:13" ht="15.75">
      <c r="A21" s="227"/>
      <c r="B21" s="239"/>
      <c r="C21" s="354" t="s">
        <v>374</v>
      </c>
      <c r="D21" s="548">
        <f>0.14*0.55</f>
        <v>7.7000000000000013E-2</v>
      </c>
      <c r="E21" s="548">
        <f>0.14*0.55</f>
        <v>7.7000000000000013E-2</v>
      </c>
      <c r="F21" s="549">
        <f>0.14*0.55</f>
        <v>7.7000000000000013E-2</v>
      </c>
      <c r="G21" s="240"/>
      <c r="H21" s="240"/>
      <c r="I21" s="240"/>
      <c r="J21" s="227"/>
      <c r="K21" s="227"/>
      <c r="L21" s="227"/>
      <c r="M21" s="227"/>
    </row>
    <row r="22" spans="1:13" s="372" customFormat="1" ht="16.5" thickBot="1">
      <c r="A22" s="227"/>
      <c r="B22" s="547"/>
      <c r="C22" s="369" t="s">
        <v>437</v>
      </c>
      <c r="D22" s="550">
        <v>2.2000000000000001E-4</v>
      </c>
      <c r="E22" s="550">
        <v>2.2000000000000001E-4</v>
      </c>
      <c r="F22" s="551">
        <v>2.2000000000000001E-4</v>
      </c>
      <c r="G22" s="240"/>
      <c r="H22" s="240"/>
      <c r="I22" s="240"/>
      <c r="J22" s="227"/>
      <c r="K22" s="227"/>
      <c r="L22" s="227"/>
      <c r="M22" s="227"/>
    </row>
    <row r="23" spans="1:13" ht="27" thickBot="1">
      <c r="A23" s="227"/>
      <c r="B23" s="239"/>
      <c r="C23" s="369" t="s">
        <v>430</v>
      </c>
      <c r="D23" s="370"/>
      <c r="E23" s="370"/>
      <c r="F23" s="241"/>
      <c r="G23" s="240"/>
      <c r="H23" s="240"/>
      <c r="I23" s="240"/>
      <c r="J23" s="227"/>
      <c r="K23" s="227"/>
      <c r="L23" s="227"/>
      <c r="M23" s="227"/>
    </row>
    <row r="24" spans="1:13" ht="15.75" thickBot="1">
      <c r="A24" s="227"/>
      <c r="B24" s="227"/>
      <c r="C24" s="12"/>
      <c r="D24" s="11"/>
      <c r="E24" s="13"/>
      <c r="F24" s="241"/>
      <c r="G24" s="240"/>
      <c r="H24" s="240"/>
      <c r="I24" s="240"/>
      <c r="J24" s="227"/>
      <c r="K24" s="227"/>
      <c r="L24" s="227"/>
      <c r="M24" s="227"/>
    </row>
    <row r="25" spans="1:13" ht="40.5">
      <c r="A25" s="227"/>
      <c r="B25" s="227"/>
      <c r="C25" s="383" t="s">
        <v>288</v>
      </c>
      <c r="D25" s="375">
        <v>3000</v>
      </c>
      <c r="E25" s="26" t="s">
        <v>379</v>
      </c>
      <c r="F25" s="240"/>
      <c r="G25" s="240"/>
      <c r="H25" s="240"/>
      <c r="I25" s="240"/>
      <c r="J25" s="227"/>
      <c r="K25" s="227"/>
      <c r="L25" s="227"/>
      <c r="M25" s="227"/>
    </row>
    <row r="26" spans="1:13" s="372" customFormat="1" ht="27.75">
      <c r="A26" s="227"/>
      <c r="B26" s="227"/>
      <c r="C26" s="384" t="s">
        <v>289</v>
      </c>
      <c r="D26" s="375">
        <v>50</v>
      </c>
      <c r="E26" s="33" t="s">
        <v>366</v>
      </c>
      <c r="F26" s="240"/>
      <c r="G26" s="240"/>
      <c r="H26" s="240"/>
      <c r="I26" s="240"/>
      <c r="J26" s="227"/>
      <c r="K26" s="227"/>
      <c r="L26" s="227"/>
      <c r="M26" s="227"/>
    </row>
    <row r="27" spans="1:13" ht="39">
      <c r="A27" s="227"/>
      <c r="B27" s="227"/>
      <c r="C27" s="385" t="s">
        <v>11</v>
      </c>
      <c r="D27" s="361">
        <v>645</v>
      </c>
      <c r="E27" s="27" t="s">
        <v>375</v>
      </c>
      <c r="F27" s="240"/>
      <c r="G27" s="240"/>
      <c r="H27" s="240"/>
      <c r="I27" s="240"/>
      <c r="J27" s="227"/>
      <c r="K27" s="227"/>
      <c r="L27" s="227"/>
      <c r="M27" s="227"/>
    </row>
    <row r="28" spans="1:13" s="371" customFormat="1" ht="15.75">
      <c r="A28" s="227"/>
      <c r="B28" s="227"/>
      <c r="C28" s="385" t="s">
        <v>260</v>
      </c>
      <c r="D28" s="361">
        <v>186</v>
      </c>
      <c r="E28" s="27" t="s">
        <v>378</v>
      </c>
      <c r="F28" s="240"/>
      <c r="G28" s="240"/>
      <c r="H28" s="240"/>
      <c r="I28" s="240"/>
      <c r="J28" s="227"/>
      <c r="K28" s="227"/>
      <c r="L28" s="227"/>
      <c r="M28" s="227"/>
    </row>
    <row r="29" spans="1:13" s="371" customFormat="1" ht="15.75">
      <c r="A29" s="227"/>
      <c r="B29" s="227"/>
      <c r="C29" s="385" t="s">
        <v>261</v>
      </c>
      <c r="D29" s="361">
        <v>990</v>
      </c>
      <c r="E29" s="27" t="s">
        <v>378</v>
      </c>
      <c r="F29" s="240"/>
      <c r="G29" s="240"/>
      <c r="H29" s="240"/>
      <c r="I29" s="240"/>
      <c r="J29" s="227"/>
      <c r="K29" s="227"/>
      <c r="L29" s="227"/>
      <c r="M29" s="227"/>
    </row>
    <row r="30" spans="1:13" s="372" customFormat="1" ht="15.75">
      <c r="A30" s="227"/>
      <c r="B30" s="227"/>
      <c r="C30" s="385" t="s">
        <v>272</v>
      </c>
      <c r="D30" s="361">
        <v>1020</v>
      </c>
      <c r="E30" s="27" t="s">
        <v>392</v>
      </c>
      <c r="F30" s="240"/>
      <c r="G30" s="240"/>
      <c r="H30" s="240"/>
      <c r="I30" s="240"/>
      <c r="J30" s="227"/>
      <c r="K30" s="227"/>
      <c r="L30" s="227"/>
      <c r="M30" s="227"/>
    </row>
    <row r="31" spans="1:13" ht="15.75">
      <c r="A31" s="227"/>
      <c r="B31" s="227"/>
      <c r="C31" s="385" t="s">
        <v>278</v>
      </c>
      <c r="D31" s="361">
        <v>83</v>
      </c>
      <c r="E31" s="27" t="s">
        <v>380</v>
      </c>
      <c r="F31" s="240"/>
      <c r="G31" s="240"/>
      <c r="H31" s="240"/>
      <c r="I31" s="240"/>
      <c r="J31" s="227"/>
      <c r="K31" s="227"/>
      <c r="L31" s="227"/>
      <c r="M31" s="227"/>
    </row>
    <row r="32" spans="1:13" s="372" customFormat="1" ht="15.75">
      <c r="A32" s="227"/>
      <c r="B32" s="227"/>
      <c r="C32" s="385" t="s">
        <v>279</v>
      </c>
      <c r="D32" s="361">
        <v>100</v>
      </c>
      <c r="E32" s="27" t="s">
        <v>380</v>
      </c>
      <c r="F32" s="240"/>
      <c r="G32" s="240"/>
      <c r="H32" s="240"/>
      <c r="I32" s="240"/>
      <c r="J32" s="227"/>
      <c r="K32" s="227"/>
      <c r="L32" s="227"/>
      <c r="M32" s="227"/>
    </row>
    <row r="33" spans="1:13">
      <c r="A33" s="227"/>
      <c r="B33" s="227"/>
      <c r="C33" s="385" t="s">
        <v>290</v>
      </c>
      <c r="D33" s="361">
        <v>64</v>
      </c>
      <c r="E33" s="27" t="s">
        <v>17</v>
      </c>
      <c r="F33" s="240"/>
      <c r="G33" s="240"/>
      <c r="H33" s="240"/>
      <c r="I33" s="240"/>
      <c r="J33" s="227"/>
      <c r="K33" s="227"/>
      <c r="L33" s="227"/>
      <c r="M33" s="227"/>
    </row>
    <row r="34" spans="1:13" s="371" customFormat="1" ht="15.75">
      <c r="A34" s="227"/>
      <c r="B34" s="227"/>
      <c r="C34" s="354" t="s">
        <v>262</v>
      </c>
      <c r="D34" s="376">
        <v>9435039</v>
      </c>
      <c r="E34" s="27" t="s">
        <v>381</v>
      </c>
      <c r="F34" s="240"/>
      <c r="G34" s="240"/>
      <c r="H34" s="240"/>
      <c r="I34" s="240"/>
      <c r="J34" s="227"/>
      <c r="K34" s="227"/>
      <c r="L34" s="227"/>
      <c r="M34" s="227"/>
    </row>
    <row r="35" spans="1:13" s="372" customFormat="1" ht="15.75">
      <c r="A35" s="227"/>
      <c r="B35" s="227"/>
      <c r="C35" s="385" t="s">
        <v>268</v>
      </c>
      <c r="D35" s="382">
        <v>438000</v>
      </c>
      <c r="E35" s="27" t="s">
        <v>381</v>
      </c>
      <c r="F35" s="240"/>
      <c r="G35" s="240"/>
      <c r="H35" s="240"/>
      <c r="I35" s="240"/>
      <c r="J35" s="227"/>
      <c r="K35" s="227"/>
      <c r="L35" s="227"/>
      <c r="M35" s="227"/>
    </row>
    <row r="36" spans="1:13" s="371" customFormat="1" ht="15.75">
      <c r="A36" s="227"/>
      <c r="B36" s="227"/>
      <c r="C36" s="385" t="s">
        <v>263</v>
      </c>
      <c r="D36" s="377">
        <v>3570459</v>
      </c>
      <c r="E36" s="27" t="s">
        <v>381</v>
      </c>
      <c r="F36" s="240"/>
      <c r="G36" s="240"/>
      <c r="H36" s="240"/>
      <c r="I36" s="240"/>
      <c r="J36" s="227"/>
      <c r="K36" s="227"/>
      <c r="L36" s="227"/>
      <c r="M36" s="227"/>
    </row>
    <row r="37" spans="1:13" s="372" customFormat="1" ht="15.75">
      <c r="A37" s="227"/>
      <c r="B37" s="227"/>
      <c r="C37" s="385" t="s">
        <v>269</v>
      </c>
      <c r="D37" s="241">
        <v>438000</v>
      </c>
      <c r="E37" s="27" t="s">
        <v>381</v>
      </c>
      <c r="F37" s="240"/>
      <c r="G37" s="240"/>
      <c r="H37" s="240"/>
      <c r="I37" s="240"/>
      <c r="J37" s="227"/>
      <c r="K37" s="227"/>
      <c r="L37" s="227"/>
      <c r="M37" s="227"/>
    </row>
    <row r="38" spans="1:13" s="371" customFormat="1" ht="15.75">
      <c r="A38" s="227"/>
      <c r="B38" s="227"/>
      <c r="C38" s="385" t="s">
        <v>264</v>
      </c>
      <c r="D38" s="377">
        <f>140*60*8760</f>
        <v>73584000</v>
      </c>
      <c r="E38" s="27" t="s">
        <v>381</v>
      </c>
      <c r="F38" s="240"/>
      <c r="G38" s="240"/>
      <c r="H38" s="240"/>
      <c r="I38" s="240"/>
      <c r="J38" s="227"/>
      <c r="K38" s="227"/>
      <c r="L38" s="227"/>
      <c r="M38" s="227"/>
    </row>
    <row r="39" spans="1:13" s="372" customFormat="1" ht="15.75">
      <c r="A39" s="227"/>
      <c r="B39" s="227"/>
      <c r="C39" s="354" t="s">
        <v>270</v>
      </c>
      <c r="D39" s="241">
        <v>876000</v>
      </c>
      <c r="E39" s="27" t="s">
        <v>381</v>
      </c>
      <c r="F39" s="240"/>
      <c r="G39" s="240"/>
      <c r="H39" s="240"/>
      <c r="I39" s="240"/>
      <c r="J39" s="227"/>
      <c r="K39" s="227"/>
      <c r="L39" s="227"/>
      <c r="M39" s="227"/>
    </row>
    <row r="40" spans="1:13" ht="15" customHeight="1">
      <c r="A40" s="227"/>
      <c r="B40" s="227"/>
      <c r="C40" s="362" t="s">
        <v>265</v>
      </c>
      <c r="D40" s="377">
        <v>6088</v>
      </c>
      <c r="E40" s="27" t="s">
        <v>381</v>
      </c>
      <c r="F40" s="240"/>
      <c r="G40" s="240"/>
      <c r="H40" s="240"/>
      <c r="I40" s="240"/>
      <c r="J40" s="227"/>
      <c r="K40" s="227"/>
      <c r="L40" s="227"/>
      <c r="M40" s="227"/>
    </row>
    <row r="41" spans="1:13" s="372" customFormat="1" ht="15" customHeight="1" thickBot="1">
      <c r="A41" s="227"/>
      <c r="B41" s="227"/>
      <c r="C41" s="386" t="s">
        <v>271</v>
      </c>
      <c r="D41" s="387">
        <v>219000</v>
      </c>
      <c r="E41" s="522" t="s">
        <v>381</v>
      </c>
      <c r="F41" s="240"/>
      <c r="G41" s="240"/>
      <c r="H41" s="240"/>
      <c r="I41" s="240"/>
      <c r="J41" s="227"/>
      <c r="K41" s="227"/>
      <c r="L41" s="227"/>
      <c r="M41" s="227"/>
    </row>
    <row r="42" spans="1:13" ht="15.75" thickBot="1">
      <c r="A42" s="227"/>
      <c r="B42" s="227"/>
      <c r="C42" s="240"/>
      <c r="D42" s="240"/>
      <c r="E42" s="240"/>
      <c r="F42" s="240"/>
      <c r="G42" s="240"/>
      <c r="H42" s="240"/>
      <c r="I42" s="240"/>
      <c r="J42" s="227"/>
      <c r="K42" s="227"/>
      <c r="L42" s="227"/>
      <c r="M42" s="227"/>
    </row>
    <row r="43" spans="1:13" ht="15.75" thickBot="1">
      <c r="A43" s="227"/>
      <c r="B43" s="227"/>
      <c r="C43" s="709" t="s">
        <v>267</v>
      </c>
      <c r="D43" s="710"/>
      <c r="E43" s="710"/>
      <c r="F43" s="710"/>
      <c r="G43" s="711"/>
      <c r="H43" s="240"/>
      <c r="I43" s="240"/>
      <c r="J43" s="227"/>
      <c r="K43" s="227"/>
      <c r="L43" s="227"/>
      <c r="M43" s="227"/>
    </row>
    <row r="44" spans="1:13" ht="15.75" thickBot="1">
      <c r="A44" s="227"/>
      <c r="B44" s="227"/>
      <c r="C44" s="14"/>
      <c r="D44" s="16" t="s">
        <v>8</v>
      </c>
      <c r="E44" s="16" t="s">
        <v>13</v>
      </c>
      <c r="F44" s="16" t="s">
        <v>14</v>
      </c>
      <c r="G44" s="16" t="s">
        <v>266</v>
      </c>
      <c r="H44" s="240"/>
      <c r="I44" s="240"/>
      <c r="J44" s="227"/>
      <c r="K44" s="227"/>
      <c r="L44" s="227"/>
      <c r="M44" s="227"/>
    </row>
    <row r="45" spans="1:13">
      <c r="A45" s="227"/>
      <c r="B45" s="227"/>
      <c r="C45" s="18" t="s">
        <v>291</v>
      </c>
      <c r="D45" s="8">
        <f>($D$34*$D$27*D14)/(1000000*2000)</f>
        <v>0.18256800465</v>
      </c>
      <c r="E45" s="3">
        <f>($D$36*$D$27*F14)/(1000000*2000)</f>
        <v>7.8300165870000007E-2</v>
      </c>
      <c r="F45" s="2">
        <f>($D$38*$D$28*E14)/(1000000*2000)</f>
        <v>0.41059871999999997</v>
      </c>
      <c r="G45" s="373">
        <f>($D$40*$D$29*F14)/(1000000*2000)</f>
        <v>2.0492208000000002E-4</v>
      </c>
      <c r="H45" s="240"/>
      <c r="I45" s="240"/>
      <c r="J45" s="227"/>
      <c r="K45" s="227"/>
      <c r="L45" s="227"/>
      <c r="M45" s="227"/>
    </row>
    <row r="46" spans="1:13">
      <c r="A46" s="227"/>
      <c r="B46" s="227"/>
      <c r="C46" s="19" t="s">
        <v>6</v>
      </c>
      <c r="D46" s="8">
        <f>($D$34*$D$27*D15)/(1000000*2000)</f>
        <v>0.45642001162500001</v>
      </c>
      <c r="E46" s="3">
        <f>($D$36*$D$27*F15)/(1000000*2000)</f>
        <v>0.42604502017500001</v>
      </c>
      <c r="F46" s="3">
        <f>($D$38*$D$28*E15)/(1000000*2000)</f>
        <v>2.0529936000000002</v>
      </c>
      <c r="G46" s="373">
        <f>($D$40*$D$29*F15)/(1000000*2000)</f>
        <v>1.1150171999999999E-3</v>
      </c>
      <c r="H46" s="240"/>
      <c r="I46" s="240"/>
      <c r="J46" s="227"/>
      <c r="K46" s="227"/>
      <c r="L46" s="227"/>
      <c r="M46" s="227"/>
    </row>
    <row r="47" spans="1:13">
      <c r="A47" s="227"/>
      <c r="B47" s="227"/>
      <c r="C47" s="19" t="s">
        <v>12</v>
      </c>
      <c r="D47" s="9">
        <f>($D$34*$D$27*D16)/(1000000*2000)</f>
        <v>0.24342400620000001</v>
      </c>
      <c r="E47" s="4">
        <f>($D$36*$D$27*F16)/(1000000*2000)</f>
        <v>0.16120622385000002</v>
      </c>
      <c r="F47" s="3">
        <f>($D$38*$D$28*E16)/(1000000*2000)</f>
        <v>0.54746496</v>
      </c>
      <c r="G47" s="373">
        <f>($D$40*$D$29*F16)/(1000000*2000)</f>
        <v>4.2189840000000001E-4</v>
      </c>
      <c r="H47" s="240"/>
      <c r="I47" s="240"/>
      <c r="J47" s="227"/>
      <c r="K47" s="227"/>
      <c r="L47" s="227"/>
      <c r="M47" s="227"/>
    </row>
    <row r="48" spans="1:13">
      <c r="A48" s="227"/>
      <c r="B48" s="227"/>
      <c r="C48" s="19" t="s">
        <v>21</v>
      </c>
      <c r="D48" s="24">
        <f>(($D$25*$D$33)/(10^6*0.7302*($D$31+459.67))*(D34))/2000</f>
        <v>2.2857950643292839</v>
      </c>
      <c r="E48" s="3">
        <f>(($D$25*$D$33)/(10^6*0.7302*($D$31+459.67))*(D36))/2000</f>
        <v>0.86500305505786146</v>
      </c>
      <c r="F48" s="3">
        <f>(D38*8.4)/(D10*60*2000)</f>
        <v>36.792000000000002</v>
      </c>
      <c r="G48" s="378">
        <f>(($D$26*$D$33)/(10^6*0.7302*($D$32+459.67))*(D40))/2000</f>
        <v>2.3835308083028952E-5</v>
      </c>
      <c r="H48" s="240"/>
      <c r="I48" s="240"/>
      <c r="J48" s="227"/>
      <c r="K48" s="227"/>
      <c r="L48" s="227"/>
      <c r="M48" s="227"/>
    </row>
    <row r="49" spans="1:13" s="372" customFormat="1" ht="15.75">
      <c r="A49" s="227"/>
      <c r="B49" s="227"/>
      <c r="C49" s="19" t="s">
        <v>382</v>
      </c>
      <c r="D49" s="8">
        <f>(D17*D$34)/(1000000*2000)</f>
        <v>0.28305117000000002</v>
      </c>
      <c r="E49" s="406" t="s">
        <v>15</v>
      </c>
      <c r="F49" s="401" t="s">
        <v>15</v>
      </c>
      <c r="G49" s="403" t="s">
        <v>15</v>
      </c>
      <c r="H49" s="240"/>
      <c r="I49" s="240"/>
      <c r="J49" s="227"/>
      <c r="K49" s="227"/>
      <c r="L49" s="227"/>
      <c r="M49" s="227"/>
    </row>
    <row r="50" spans="1:13" s="372" customFormat="1" ht="15.75">
      <c r="A50" s="227"/>
      <c r="B50" s="227"/>
      <c r="C50" s="19" t="s">
        <v>383</v>
      </c>
      <c r="D50" s="8">
        <f>(D18*D$34)/(1000000*2000)</f>
        <v>0.28305117000000002</v>
      </c>
      <c r="E50" s="4" t="s">
        <v>15</v>
      </c>
      <c r="F50" s="401" t="s">
        <v>15</v>
      </c>
      <c r="G50" s="403" t="s">
        <v>15</v>
      </c>
      <c r="H50" s="240"/>
      <c r="I50" s="240"/>
      <c r="J50" s="227"/>
      <c r="K50" s="227"/>
      <c r="L50" s="227"/>
      <c r="M50" s="227"/>
    </row>
    <row r="51" spans="1:13" s="372" customFormat="1" ht="16.5" thickBot="1">
      <c r="A51" s="227"/>
      <c r="B51" s="227"/>
      <c r="C51" s="18" t="s">
        <v>384</v>
      </c>
      <c r="D51" s="399">
        <f>(D19*D$34)/(1000000*2000)</f>
        <v>0.28305117000000002</v>
      </c>
      <c r="E51" s="400" t="s">
        <v>15</v>
      </c>
      <c r="F51" s="4" t="s">
        <v>15</v>
      </c>
      <c r="G51" s="378" t="s">
        <v>15</v>
      </c>
      <c r="H51" s="240"/>
      <c r="I51" s="240"/>
      <c r="J51" s="227"/>
      <c r="K51" s="227"/>
      <c r="L51" s="227"/>
      <c r="M51" s="227"/>
    </row>
    <row r="52" spans="1:13">
      <c r="A52" s="227"/>
      <c r="B52" s="227"/>
      <c r="C52" s="17" t="s">
        <v>22</v>
      </c>
      <c r="D52" s="6">
        <f>($D$34*$D$27*D20)/(1000000*2000)</f>
        <v>355.94675306595002</v>
      </c>
      <c r="E52" s="7">
        <f>($D$36*$D$27*F20)/(1000000*2000)</f>
        <v>134.69931475695</v>
      </c>
      <c r="F52" s="7">
        <f>($D$38*$D$28*E20)/(1000000*2000)</f>
        <v>800.53063775999999</v>
      </c>
      <c r="G52" s="379">
        <f>($D$40*$D$29*F20)/(1000000*2000)</f>
        <v>0.3525262488</v>
      </c>
      <c r="H52" s="240"/>
      <c r="I52" s="240"/>
      <c r="J52" s="227"/>
      <c r="K52" s="227"/>
      <c r="L52" s="227"/>
      <c r="M52" s="227"/>
    </row>
    <row r="53" spans="1:13">
      <c r="A53" s="227"/>
      <c r="B53" s="227"/>
      <c r="C53" s="19" t="s">
        <v>24</v>
      </c>
      <c r="D53" s="8">
        <f>($D$34*$D$27*D21)/(1000000*2000)</f>
        <v>0.23429560596750004</v>
      </c>
      <c r="E53" s="21">
        <f>($D$36*$D$27*F21)/(1000000*2000)</f>
        <v>8.8663423117500029E-2</v>
      </c>
      <c r="F53" s="380">
        <f>($D$38*$D$28*E21)/(1000000*2000)</f>
        <v>0.52693502400000003</v>
      </c>
      <c r="G53" s="373">
        <f>($D$40*$D$29*F21)/(1000000*2000)</f>
        <v>2.3204412000000002E-4</v>
      </c>
      <c r="H53" s="240"/>
      <c r="I53" s="240"/>
      <c r="J53" s="227"/>
      <c r="K53" s="227"/>
      <c r="L53" s="227"/>
      <c r="M53" s="227"/>
    </row>
    <row r="54" spans="1:13" s="372" customFormat="1">
      <c r="A54" s="227"/>
      <c r="B54" s="227"/>
      <c r="C54" s="19" t="s">
        <v>292</v>
      </c>
      <c r="D54" s="554">
        <f>($D$34*$D$27*$D22)/(1000000*2000)</f>
        <v>6.6941601705000002E-4</v>
      </c>
      <c r="E54" s="555">
        <f>($D$36*$D$27*F22)/(1000000*2000)</f>
        <v>2.5332406605000003E-4</v>
      </c>
      <c r="F54" s="556">
        <f>($D$38*$D$28*E22)/(1000000*2000)</f>
        <v>1.5055286400000002E-3</v>
      </c>
      <c r="G54" s="373">
        <f>($D$40*$D$29*F22)/(1000000*2000)</f>
        <v>6.6298319999999999E-7</v>
      </c>
      <c r="H54" s="240"/>
      <c r="I54" s="240"/>
      <c r="J54" s="227"/>
      <c r="K54" s="227"/>
      <c r="L54" s="227"/>
      <c r="M54" s="227"/>
    </row>
    <row r="55" spans="1:13" ht="16.5" thickBot="1">
      <c r="A55" s="227"/>
      <c r="B55" s="227"/>
      <c r="C55" s="20" t="s">
        <v>390</v>
      </c>
      <c r="D55" s="552">
        <f>(D52*1)+(D53*25)+(D54*298)</f>
        <v>362.00362918821844</v>
      </c>
      <c r="E55" s="553">
        <f>(E52*1)+(E53*25)+(E54*298)</f>
        <v>136.99139090657042</v>
      </c>
      <c r="F55" s="381">
        <f>(F52*1)+(F53*25)+(F54*298)</f>
        <v>814.15266089471993</v>
      </c>
      <c r="G55" s="374">
        <f>(G52*1)+(G53*25)+(G54*298)</f>
        <v>0.35852492079359999</v>
      </c>
      <c r="H55" s="227"/>
      <c r="I55" s="227"/>
      <c r="J55" s="227"/>
      <c r="K55" s="227"/>
      <c r="L55" s="227"/>
      <c r="M55" s="227"/>
    </row>
    <row r="56" spans="1:13" ht="15.75" thickBot="1">
      <c r="A56" s="227"/>
      <c r="B56" s="227"/>
      <c r="C56" s="227"/>
      <c r="D56" s="227"/>
      <c r="E56" s="227"/>
      <c r="F56" s="227"/>
      <c r="G56" s="227"/>
      <c r="H56" s="227"/>
      <c r="I56" s="227"/>
      <c r="J56" s="227"/>
      <c r="K56" s="227"/>
      <c r="L56" s="227"/>
      <c r="M56" s="227"/>
    </row>
    <row r="57" spans="1:13" ht="16.5" thickBot="1">
      <c r="A57" s="227"/>
      <c r="B57" s="227"/>
      <c r="C57" s="709" t="s">
        <v>273</v>
      </c>
      <c r="D57" s="710"/>
      <c r="E57" s="710"/>
      <c r="F57" s="710"/>
      <c r="G57" s="711"/>
      <c r="H57" s="227"/>
      <c r="I57" s="227"/>
      <c r="J57" s="227"/>
      <c r="K57" s="227"/>
      <c r="L57" s="227"/>
      <c r="M57" s="227"/>
    </row>
    <row r="58" spans="1:13" ht="15.75" thickBot="1">
      <c r="A58" s="227"/>
      <c r="B58" s="227"/>
      <c r="C58" s="14"/>
      <c r="D58" s="16" t="s">
        <v>8</v>
      </c>
      <c r="E58" s="16" t="s">
        <v>13</v>
      </c>
      <c r="F58" s="16" t="s">
        <v>14</v>
      </c>
      <c r="G58" s="16" t="s">
        <v>266</v>
      </c>
      <c r="H58" s="227"/>
      <c r="I58" s="227"/>
    </row>
    <row r="59" spans="1:13">
      <c r="A59" s="227"/>
      <c r="B59" s="227"/>
      <c r="C59" s="18" t="s">
        <v>291</v>
      </c>
      <c r="D59" s="23">
        <f>($D$35*$D$30*$F14)/(1000000*2000)</f>
        <v>1.5189840000000001E-2</v>
      </c>
      <c r="E59" s="380">
        <f>($D$37*$D$30*$F14)/(1000000*2000)</f>
        <v>1.5189840000000001E-2</v>
      </c>
      <c r="F59" s="390">
        <f>($D$39*$D$30*$F14)/(1000000*2000)</f>
        <v>3.0379680000000003E-2</v>
      </c>
      <c r="G59" s="373">
        <f>($D$41*$D$30*$F14)/(1000000*2000)</f>
        <v>7.5949200000000007E-3</v>
      </c>
      <c r="H59" s="227"/>
      <c r="I59" s="227"/>
    </row>
    <row r="60" spans="1:13">
      <c r="A60" s="227"/>
      <c r="B60" s="227"/>
      <c r="C60" s="19" t="s">
        <v>6</v>
      </c>
      <c r="D60" s="23">
        <f>($D$35*$D$30*F15)/(1000000*2000)</f>
        <v>8.2650600000000005E-2</v>
      </c>
      <c r="E60" s="380">
        <f>($D$37*$D$30*$F15)/(1000000*2000)</f>
        <v>8.2650600000000005E-2</v>
      </c>
      <c r="F60" s="3">
        <f>($D$39*$D$30*$F15)/(1000000*2000)</f>
        <v>0.16530120000000001</v>
      </c>
      <c r="G60" s="373">
        <f>($D$41*$D$30*$F15)/(1000000*2000)</f>
        <v>4.1325300000000002E-2</v>
      </c>
      <c r="H60" s="227"/>
      <c r="I60" s="227"/>
    </row>
    <row r="61" spans="1:13">
      <c r="A61" s="227"/>
      <c r="B61" s="227"/>
      <c r="C61" s="19" t="s">
        <v>12</v>
      </c>
      <c r="D61" s="388">
        <f>($D$35*$D$30*F16)/(1000000*2000)</f>
        <v>3.1273200000000001E-2</v>
      </c>
      <c r="E61" s="389">
        <f>($D$37*$D$30*$F16)/(1000000*2000)</f>
        <v>3.1273200000000001E-2</v>
      </c>
      <c r="F61" s="380">
        <f>($D$39*$D$30*$F16)/(1000000*2000)</f>
        <v>6.2546400000000002E-2</v>
      </c>
      <c r="G61" s="373">
        <f>($D$41*$D$30*$F16)/(1000000*2000)</f>
        <v>1.56366E-2</v>
      </c>
      <c r="H61" s="227"/>
      <c r="I61" s="227"/>
    </row>
    <row r="62" spans="1:13" ht="16.5" thickBot="1">
      <c r="A62" s="227"/>
      <c r="B62" s="227"/>
      <c r="C62" s="18" t="s">
        <v>387</v>
      </c>
      <c r="D62" s="391">
        <f>(1*$D35)/(7000*100*2000)</f>
        <v>3.1285714285714288E-4</v>
      </c>
      <c r="E62" s="392">
        <f>(1*$D37)/(7000*100*2000)</f>
        <v>3.1285714285714288E-4</v>
      </c>
      <c r="F62" s="393">
        <f>(1*$D39)/(7000*100*2000)</f>
        <v>6.2571428571428576E-4</v>
      </c>
      <c r="G62" s="378">
        <f>(1*$D41)/(7000*100*2000)</f>
        <v>1.5642857142857144E-4</v>
      </c>
      <c r="H62" s="227"/>
      <c r="I62" s="227"/>
    </row>
    <row r="63" spans="1:13" ht="15.75">
      <c r="A63" s="227"/>
      <c r="B63" s="227"/>
      <c r="C63" s="17" t="s">
        <v>388</v>
      </c>
      <c r="D63" s="394">
        <f>($D$35*$D$30*F20)/(1000000*2000)</f>
        <v>26.1309924</v>
      </c>
      <c r="E63" s="5">
        <f>($D$37*$D$30*F20)/(1000000*2000)</f>
        <v>26.1309924</v>
      </c>
      <c r="F63" s="5">
        <f>($D$39*$D$30*F20)/(1000000*2000)</f>
        <v>52.2619848</v>
      </c>
      <c r="G63" s="558">
        <f>($D$41*$D$30*F20)/(1000000*2000)</f>
        <v>13.0654962</v>
      </c>
      <c r="H63" s="227"/>
      <c r="I63" s="227"/>
    </row>
    <row r="64" spans="1:13">
      <c r="A64" s="227"/>
      <c r="B64" s="227"/>
      <c r="C64" s="19" t="s">
        <v>24</v>
      </c>
      <c r="D64" s="23">
        <f>($D$35*$D$30*F21)/(1000000*2000)</f>
        <v>1.7200260000000005E-2</v>
      </c>
      <c r="E64" s="21">
        <f>($D$37*$D$30*F21)/(1000000*2000)</f>
        <v>1.7200260000000005E-2</v>
      </c>
      <c r="F64" s="380">
        <f>($D$39*$D$30*F21)/(1000000*2000)</f>
        <v>3.4400520000000011E-2</v>
      </c>
      <c r="G64" s="373">
        <f>($D$41*$D$29*F21)/(1000000*2000)</f>
        <v>8.3471850000000018E-3</v>
      </c>
      <c r="H64" s="227"/>
      <c r="I64" s="227"/>
    </row>
    <row r="65" spans="1:12" s="372" customFormat="1">
      <c r="A65" s="227"/>
      <c r="B65" s="227"/>
      <c r="C65" s="19" t="s">
        <v>292</v>
      </c>
      <c r="D65" s="554">
        <f>($D$35*$D$30*F22)/(1000000*2000)</f>
        <v>4.9143600000000002E-5</v>
      </c>
      <c r="E65" s="555">
        <f>($D$37*$D$30*F22)/(1000000*2000)</f>
        <v>4.9143600000000002E-5</v>
      </c>
      <c r="F65" s="556">
        <f>($D$39*$D$30*F22)/(1000000*2000)</f>
        <v>9.8287200000000003E-5</v>
      </c>
      <c r="G65" s="373">
        <f>($D$41*$D$29*F22)/(1000000*2000)</f>
        <v>2.3849100000000002E-5</v>
      </c>
      <c r="H65" s="227"/>
      <c r="I65" s="227"/>
    </row>
    <row r="66" spans="1:12" ht="16.5" thickBot="1">
      <c r="A66" s="227"/>
      <c r="B66" s="227"/>
      <c r="C66" s="20" t="s">
        <v>390</v>
      </c>
      <c r="D66" s="10">
        <f>(D63*1)+(D64*25)+(D65*298)</f>
        <v>26.5756436928</v>
      </c>
      <c r="E66" s="22">
        <f>(E63*1)+(E64*25)+(E65*298)</f>
        <v>26.5756436928</v>
      </c>
      <c r="F66" s="381">
        <f>(F63*1)+(F64*25)+(F65*298)</f>
        <v>53.1512873856</v>
      </c>
      <c r="G66" s="557">
        <f>(G63*1)+(G64*25)+(G65*298)</f>
        <v>13.281282856800001</v>
      </c>
      <c r="H66" s="227"/>
      <c r="I66" s="227"/>
    </row>
    <row r="67" spans="1:12" ht="15.75" thickBot="1">
      <c r="A67" s="227"/>
      <c r="B67" s="227"/>
      <c r="C67" s="227"/>
      <c r="D67" s="227"/>
      <c r="E67" s="227"/>
      <c r="F67" s="227"/>
      <c r="G67" s="227"/>
      <c r="H67" s="227"/>
      <c r="I67" s="227"/>
    </row>
    <row r="68" spans="1:12" ht="15.75" thickBot="1">
      <c r="A68" s="227"/>
      <c r="B68" s="227"/>
      <c r="C68" s="709" t="s">
        <v>277</v>
      </c>
      <c r="D68" s="710"/>
      <c r="E68" s="710"/>
      <c r="F68" s="710"/>
      <c r="G68" s="711"/>
      <c r="H68" s="227"/>
      <c r="I68" s="227"/>
    </row>
    <row r="69" spans="1:12" ht="15.75" thickBot="1">
      <c r="A69" s="227"/>
      <c r="B69" s="227"/>
      <c r="C69" s="14"/>
      <c r="D69" s="16" t="s">
        <v>8</v>
      </c>
      <c r="E69" s="16" t="s">
        <v>13</v>
      </c>
      <c r="F69" s="16" t="s">
        <v>14</v>
      </c>
      <c r="G69" s="16" t="s">
        <v>266</v>
      </c>
      <c r="H69" s="227"/>
      <c r="I69" s="227"/>
    </row>
    <row r="70" spans="1:12">
      <c r="A70" s="227"/>
      <c r="B70" s="227"/>
      <c r="C70" s="18" t="s">
        <v>291</v>
      </c>
      <c r="D70" s="8">
        <f t="shared" ref="D70:G73" si="0">D59+D45</f>
        <v>0.19775784465000001</v>
      </c>
      <c r="E70" s="3">
        <f t="shared" si="0"/>
        <v>9.3490005870000004E-2</v>
      </c>
      <c r="F70" s="2">
        <f t="shared" si="0"/>
        <v>0.44097839999999999</v>
      </c>
      <c r="G70" s="373">
        <f t="shared" si="0"/>
        <v>7.799842080000001E-3</v>
      </c>
      <c r="H70" s="227"/>
      <c r="I70" s="227"/>
      <c r="K70" s="571"/>
    </row>
    <row r="71" spans="1:12">
      <c r="A71" s="227"/>
      <c r="B71" s="227"/>
      <c r="C71" s="19" t="s">
        <v>6</v>
      </c>
      <c r="D71" s="8">
        <f t="shared" si="0"/>
        <v>0.53907061162500003</v>
      </c>
      <c r="E71" s="3">
        <f t="shared" si="0"/>
        <v>0.50869562017500003</v>
      </c>
      <c r="F71" s="3">
        <f t="shared" si="0"/>
        <v>2.2182948000000002</v>
      </c>
      <c r="G71" s="373">
        <f t="shared" si="0"/>
        <v>4.2440317200000001E-2</v>
      </c>
      <c r="H71" s="227"/>
      <c r="I71" s="227"/>
      <c r="K71" s="571"/>
      <c r="L71" s="372"/>
    </row>
    <row r="72" spans="1:12">
      <c r="A72" s="227"/>
      <c r="B72" s="227"/>
      <c r="C72" s="19" t="s">
        <v>12</v>
      </c>
      <c r="D72" s="9">
        <f t="shared" si="0"/>
        <v>0.27469720620000004</v>
      </c>
      <c r="E72" s="4">
        <f t="shared" si="0"/>
        <v>0.19247942385000003</v>
      </c>
      <c r="F72" s="3">
        <f t="shared" si="0"/>
        <v>0.61001136</v>
      </c>
      <c r="G72" s="373">
        <f t="shared" si="0"/>
        <v>1.6058498399999999E-2</v>
      </c>
      <c r="H72" s="227"/>
      <c r="I72" s="227"/>
      <c r="K72" s="571"/>
      <c r="L72" s="372"/>
    </row>
    <row r="73" spans="1:12" ht="15.75">
      <c r="A73" s="227"/>
      <c r="B73" s="227"/>
      <c r="C73" s="18" t="s">
        <v>387</v>
      </c>
      <c r="D73" s="8">
        <f t="shared" si="0"/>
        <v>2.2861079214721411</v>
      </c>
      <c r="E73" s="3">
        <f t="shared" si="0"/>
        <v>0.86531591220071857</v>
      </c>
      <c r="F73" s="3">
        <f t="shared" si="0"/>
        <v>36.792625714285712</v>
      </c>
      <c r="G73" s="378">
        <f t="shared" si="0"/>
        <v>1.8026387951160038E-4</v>
      </c>
      <c r="H73" s="227"/>
      <c r="I73" s="227"/>
      <c r="K73" s="571"/>
      <c r="L73" s="372"/>
    </row>
    <row r="74" spans="1:12" s="372" customFormat="1" ht="15.75">
      <c r="A74" s="227"/>
      <c r="B74" s="227"/>
      <c r="C74" s="404" t="s">
        <v>382</v>
      </c>
      <c r="D74" s="405">
        <f>D49</f>
        <v>0.28305117000000002</v>
      </c>
      <c r="E74" s="4" t="s">
        <v>15</v>
      </c>
      <c r="F74" s="4" t="s">
        <v>15</v>
      </c>
      <c r="G74" s="403" t="s">
        <v>15</v>
      </c>
      <c r="H74" s="227"/>
      <c r="I74" s="227"/>
      <c r="K74" s="571"/>
    </row>
    <row r="75" spans="1:12" s="372" customFormat="1" ht="15.75">
      <c r="A75" s="227"/>
      <c r="B75" s="227"/>
      <c r="C75" s="19" t="s">
        <v>383</v>
      </c>
      <c r="D75" s="405">
        <f>D50</f>
        <v>0.28305117000000002</v>
      </c>
      <c r="E75" s="3" t="s">
        <v>15</v>
      </c>
      <c r="F75" s="3" t="s">
        <v>15</v>
      </c>
      <c r="G75" s="402" t="s">
        <v>15</v>
      </c>
      <c r="H75" s="227"/>
      <c r="I75" s="227"/>
      <c r="K75" s="571"/>
    </row>
    <row r="76" spans="1:12" s="372" customFormat="1" ht="16.5" thickBot="1">
      <c r="A76" s="227"/>
      <c r="B76" s="227"/>
      <c r="C76" s="18" t="s">
        <v>384</v>
      </c>
      <c r="D76" s="405">
        <f>D51</f>
        <v>0.28305117000000002</v>
      </c>
      <c r="E76" s="400" t="s">
        <v>15</v>
      </c>
      <c r="F76" s="4" t="s">
        <v>15</v>
      </c>
      <c r="G76" s="378" t="s">
        <v>15</v>
      </c>
      <c r="H76" s="227"/>
      <c r="I76" s="227"/>
      <c r="J76" s="64"/>
      <c r="K76" s="571"/>
    </row>
    <row r="77" spans="1:12" ht="15.75">
      <c r="A77" s="227"/>
      <c r="B77" s="227"/>
      <c r="C77" s="17" t="s">
        <v>388</v>
      </c>
      <c r="D77" s="6">
        <f t="shared" ref="D77:G79" si="1">D63+D52</f>
        <v>382.07774546595004</v>
      </c>
      <c r="E77" s="7">
        <f t="shared" si="1"/>
        <v>160.83030715695</v>
      </c>
      <c r="F77" s="7">
        <f t="shared" si="1"/>
        <v>852.79262256000004</v>
      </c>
      <c r="G77" s="558">
        <f t="shared" si="1"/>
        <v>13.4180224488</v>
      </c>
      <c r="H77" s="227"/>
      <c r="I77" s="227"/>
    </row>
    <row r="78" spans="1:12">
      <c r="A78" s="227"/>
      <c r="B78" s="227"/>
      <c r="C78" s="19" t="s">
        <v>24</v>
      </c>
      <c r="D78" s="8">
        <f t="shared" si="1"/>
        <v>0.25149586596750007</v>
      </c>
      <c r="E78" s="21">
        <f t="shared" si="1"/>
        <v>0.10586368311750004</v>
      </c>
      <c r="F78" s="380">
        <f t="shared" si="1"/>
        <v>0.56133554400000008</v>
      </c>
      <c r="G78" s="373">
        <f t="shared" si="1"/>
        <v>8.579229120000002E-3</v>
      </c>
      <c r="H78" s="227"/>
      <c r="I78" s="227"/>
    </row>
    <row r="79" spans="1:12" s="372" customFormat="1">
      <c r="A79" s="227"/>
      <c r="B79" s="227"/>
      <c r="C79" s="19" t="s">
        <v>292</v>
      </c>
      <c r="D79" s="554">
        <f t="shared" si="1"/>
        <v>7.1855961704999998E-4</v>
      </c>
      <c r="E79" s="555">
        <f t="shared" si="1"/>
        <v>3.0246766605000004E-4</v>
      </c>
      <c r="F79" s="556">
        <f t="shared" si="1"/>
        <v>1.6038158400000001E-3</v>
      </c>
      <c r="G79" s="373">
        <f t="shared" si="1"/>
        <v>2.4512083200000002E-5</v>
      </c>
      <c r="H79" s="227"/>
      <c r="I79" s="227"/>
    </row>
    <row r="80" spans="1:12" ht="16.5" thickBot="1">
      <c r="A80" s="227"/>
      <c r="B80" s="227"/>
      <c r="C80" s="20" t="s">
        <v>390</v>
      </c>
      <c r="D80" s="10">
        <f t="shared" ref="D80" si="2">D66+D55</f>
        <v>388.57927288101843</v>
      </c>
      <c r="E80" s="22">
        <f t="shared" ref="E80:G80" si="3">E66+E55</f>
        <v>163.5670345993704</v>
      </c>
      <c r="F80" s="553">
        <f t="shared" si="3"/>
        <v>867.3039482803199</v>
      </c>
      <c r="G80" s="559">
        <f t="shared" si="3"/>
        <v>13.639807777593601</v>
      </c>
      <c r="H80" s="227"/>
      <c r="I80" s="227"/>
    </row>
    <row r="81" spans="1:9">
      <c r="A81" s="227"/>
      <c r="B81" s="227"/>
      <c r="C81" s="398"/>
      <c r="D81" s="227"/>
      <c r="E81" s="227"/>
      <c r="F81" s="227"/>
      <c r="G81" s="227"/>
      <c r="H81" s="227"/>
      <c r="I81" s="227"/>
    </row>
    <row r="82" spans="1:9">
      <c r="A82" s="227"/>
      <c r="B82" s="408"/>
      <c r="C82" s="511" t="s">
        <v>320</v>
      </c>
      <c r="D82" s="408"/>
      <c r="E82" s="408"/>
      <c r="F82" s="408"/>
      <c r="G82" s="408"/>
      <c r="H82" s="408"/>
      <c r="I82" s="227"/>
    </row>
    <row r="83" spans="1:9">
      <c r="A83" s="227"/>
      <c r="B83" s="227"/>
      <c r="C83" s="514" t="s">
        <v>352</v>
      </c>
      <c r="D83" s="227"/>
      <c r="E83" s="227"/>
      <c r="F83" s="227"/>
      <c r="G83" s="227"/>
      <c r="H83" s="227"/>
      <c r="I83" s="227"/>
    </row>
    <row r="84" spans="1:9">
      <c r="A84" s="227"/>
      <c r="B84" s="227"/>
      <c r="C84" s="240" t="s">
        <v>353</v>
      </c>
      <c r="D84" s="227"/>
      <c r="E84" s="227"/>
      <c r="F84" s="227"/>
      <c r="G84" s="227"/>
      <c r="H84" s="227"/>
      <c r="I84" s="227"/>
    </row>
    <row r="85" spans="1:9">
      <c r="A85" s="227"/>
      <c r="B85" s="227"/>
      <c r="C85" s="240" t="s">
        <v>358</v>
      </c>
      <c r="D85" s="227"/>
      <c r="E85" s="227"/>
      <c r="F85" s="227"/>
      <c r="G85" s="227"/>
      <c r="H85" s="227"/>
      <c r="I85" s="227"/>
    </row>
    <row r="86" spans="1:9">
      <c r="A86" s="227"/>
      <c r="B86" s="227"/>
      <c r="C86" s="240" t="s">
        <v>362</v>
      </c>
      <c r="D86" s="227"/>
      <c r="E86" s="227"/>
      <c r="F86" s="227"/>
      <c r="G86" s="227"/>
      <c r="H86" s="227"/>
      <c r="I86" s="227"/>
    </row>
    <row r="87" spans="1:9" s="372" customFormat="1">
      <c r="A87" s="227"/>
      <c r="B87" s="227"/>
      <c r="C87" s="240" t="s">
        <v>371</v>
      </c>
      <c r="D87" s="227"/>
      <c r="E87" s="227"/>
      <c r="F87" s="227"/>
      <c r="G87" s="227"/>
      <c r="H87" s="227"/>
      <c r="I87" s="227"/>
    </row>
    <row r="88" spans="1:9" s="372" customFormat="1">
      <c r="A88" s="227"/>
      <c r="B88" s="227"/>
      <c r="C88" s="240" t="s">
        <v>368</v>
      </c>
      <c r="D88" s="227"/>
      <c r="E88" s="227"/>
      <c r="F88" s="227"/>
      <c r="G88" s="227"/>
      <c r="H88" s="227"/>
      <c r="I88" s="227"/>
    </row>
    <row r="89" spans="1:9" s="372" customFormat="1">
      <c r="A89" s="227"/>
      <c r="B89" s="227"/>
      <c r="C89" s="240" t="s">
        <v>369</v>
      </c>
      <c r="D89" s="227"/>
      <c r="E89" s="227"/>
      <c r="F89" s="227"/>
      <c r="G89" s="227"/>
      <c r="H89" s="227"/>
      <c r="I89" s="227"/>
    </row>
    <row r="90" spans="1:9" s="372" customFormat="1">
      <c r="A90" s="227"/>
      <c r="B90" s="227"/>
      <c r="C90" s="240" t="s">
        <v>372</v>
      </c>
      <c r="D90" s="227"/>
      <c r="E90" s="227"/>
      <c r="F90" s="227"/>
      <c r="G90" s="227"/>
      <c r="H90" s="227"/>
      <c r="I90" s="227"/>
    </row>
    <row r="91" spans="1:9" s="372" customFormat="1">
      <c r="A91" s="227"/>
      <c r="B91" s="227"/>
      <c r="C91" s="240" t="s">
        <v>373</v>
      </c>
      <c r="D91" s="227"/>
      <c r="E91" s="227"/>
      <c r="F91" s="227"/>
      <c r="G91" s="227"/>
      <c r="H91" s="227"/>
      <c r="I91" s="227"/>
    </row>
    <row r="92" spans="1:9" s="372" customFormat="1">
      <c r="A92" s="227"/>
      <c r="B92" s="227"/>
      <c r="C92" s="240" t="s">
        <v>376</v>
      </c>
      <c r="D92" s="227"/>
      <c r="E92" s="227"/>
      <c r="F92" s="227"/>
      <c r="G92" s="227"/>
      <c r="H92" s="227"/>
      <c r="I92" s="227"/>
    </row>
    <row r="93" spans="1:9" s="372" customFormat="1">
      <c r="A93" s="227"/>
      <c r="B93" s="227"/>
      <c r="C93" s="240" t="s">
        <v>377</v>
      </c>
      <c r="D93" s="227"/>
      <c r="E93" s="227"/>
      <c r="F93" s="227"/>
      <c r="G93" s="227"/>
      <c r="H93" s="227"/>
      <c r="I93" s="227"/>
    </row>
    <row r="94" spans="1:9" s="372" customFormat="1">
      <c r="A94" s="227"/>
      <c r="B94" s="227"/>
      <c r="C94" s="240" t="s">
        <v>386</v>
      </c>
      <c r="D94" s="227"/>
      <c r="E94" s="227"/>
      <c r="F94" s="227"/>
      <c r="G94" s="227"/>
      <c r="H94" s="227"/>
      <c r="I94" s="227"/>
    </row>
    <row r="95" spans="1:9" s="372" customFormat="1">
      <c r="A95" s="227"/>
      <c r="B95" s="227"/>
      <c r="C95" s="240" t="s">
        <v>385</v>
      </c>
      <c r="D95" s="227"/>
      <c r="E95" s="227"/>
      <c r="F95" s="227"/>
      <c r="G95" s="227"/>
      <c r="H95" s="227"/>
      <c r="I95" s="227"/>
    </row>
    <row r="96" spans="1:9" s="372" customFormat="1">
      <c r="A96" s="227"/>
      <c r="B96" s="227"/>
      <c r="C96" s="225" t="s">
        <v>389</v>
      </c>
      <c r="D96" s="227"/>
      <c r="E96" s="227"/>
      <c r="F96" s="227"/>
      <c r="G96" s="227"/>
      <c r="H96" s="227"/>
      <c r="I96" s="227"/>
    </row>
    <row r="97" spans="1:9" s="372" customFormat="1">
      <c r="A97" s="227"/>
      <c r="B97" s="227"/>
      <c r="C97" s="225" t="s">
        <v>113</v>
      </c>
      <c r="D97" s="227"/>
      <c r="E97" s="227"/>
      <c r="F97" s="227"/>
      <c r="G97" s="227"/>
      <c r="H97" s="227"/>
      <c r="I97" s="227"/>
    </row>
    <row r="98" spans="1:9" s="372" customFormat="1">
      <c r="A98" s="227"/>
      <c r="B98" s="227"/>
      <c r="C98" s="240" t="s">
        <v>393</v>
      </c>
      <c r="D98" s="227"/>
      <c r="E98" s="227"/>
      <c r="F98" s="227"/>
      <c r="G98" s="227"/>
      <c r="H98" s="227"/>
      <c r="I98" s="227"/>
    </row>
    <row r="99" spans="1:9" s="372" customFormat="1">
      <c r="A99" s="227"/>
      <c r="B99" s="227"/>
      <c r="C99" s="240"/>
      <c r="D99" s="227"/>
      <c r="E99" s="227"/>
      <c r="F99" s="227"/>
      <c r="G99" s="227"/>
      <c r="H99" s="227"/>
      <c r="I99" s="227"/>
    </row>
    <row r="100" spans="1:9">
      <c r="A100" s="227"/>
      <c r="B100" s="506" t="s">
        <v>329</v>
      </c>
      <c r="C100" s="504" t="s">
        <v>123</v>
      </c>
      <c r="D100" s="505"/>
      <c r="E100" s="505"/>
      <c r="F100" s="505"/>
      <c r="G100" s="505"/>
      <c r="H100" s="505"/>
      <c r="I100" s="505"/>
    </row>
    <row r="101" spans="1:9">
      <c r="A101" s="227"/>
      <c r="B101" s="227"/>
      <c r="C101" s="507" t="s">
        <v>355</v>
      </c>
      <c r="D101" s="505"/>
      <c r="E101" s="505"/>
      <c r="F101" s="505"/>
      <c r="G101" s="505"/>
      <c r="H101" s="505"/>
      <c r="I101" s="505"/>
    </row>
    <row r="102" spans="1:9">
      <c r="A102" s="227"/>
      <c r="B102" s="227"/>
      <c r="C102" s="507" t="s">
        <v>356</v>
      </c>
      <c r="D102" s="505"/>
      <c r="E102" s="505"/>
      <c r="F102" s="505"/>
      <c r="G102" s="505"/>
      <c r="H102" s="505"/>
      <c r="I102" s="505"/>
    </row>
    <row r="103" spans="1:9">
      <c r="A103" s="227"/>
      <c r="B103" s="227"/>
      <c r="C103" s="509" t="s">
        <v>357</v>
      </c>
      <c r="D103" s="505"/>
      <c r="E103" s="505"/>
      <c r="F103" s="505"/>
      <c r="G103" s="505"/>
      <c r="H103" s="505"/>
      <c r="I103" s="505"/>
    </row>
    <row r="104" spans="1:9">
      <c r="A104" s="227"/>
      <c r="B104" s="227"/>
      <c r="C104" s="240" t="s">
        <v>370</v>
      </c>
      <c r="D104" s="227"/>
      <c r="E104" s="227"/>
      <c r="F104" s="227"/>
      <c r="G104" s="227"/>
      <c r="H104" s="227"/>
      <c r="I104" s="227"/>
    </row>
    <row r="105" spans="1:9">
      <c r="A105" s="227"/>
      <c r="B105" s="227"/>
      <c r="C105" s="227"/>
      <c r="D105" s="227"/>
      <c r="E105" s="227"/>
      <c r="F105" s="227"/>
      <c r="G105" s="227"/>
      <c r="H105" s="227"/>
      <c r="I105" s="227"/>
    </row>
  </sheetData>
  <mergeCells count="4">
    <mergeCell ref="C57:G57"/>
    <mergeCell ref="C68:G68"/>
    <mergeCell ref="D7:E7"/>
    <mergeCell ref="C43:G43"/>
  </mergeCells>
  <pageMargins left="0.7" right="0.7" top="0.75" bottom="0.75" header="0.3" footer="0.3"/>
  <pageSetup paperSize="3"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17"/>
  <sheetViews>
    <sheetView showGridLines="0" view="pageBreakPreview" topLeftCell="A73" zoomScaleNormal="100" zoomScaleSheetLayoutView="100" workbookViewId="0">
      <selection activeCell="C91" sqref="C91"/>
    </sheetView>
  </sheetViews>
  <sheetFormatPr defaultColWidth="8.85546875" defaultRowHeight="12.75"/>
  <cols>
    <col min="1" max="1" width="1.7109375" style="89" customWidth="1"/>
    <col min="2" max="2" width="15.85546875" style="89" customWidth="1"/>
    <col min="3" max="3" width="23.42578125" style="89" customWidth="1"/>
    <col min="4" max="4" width="12.140625" style="89" customWidth="1"/>
    <col min="5" max="5" width="10.7109375" style="89" customWidth="1"/>
    <col min="6" max="6" width="14.28515625" style="89" customWidth="1"/>
    <col min="7" max="9" width="10.7109375" style="89" customWidth="1"/>
    <col min="10" max="10" width="1.7109375" style="89" customWidth="1"/>
    <col min="11" max="16384" width="8.85546875" style="89"/>
  </cols>
  <sheetData>
    <row r="1" spans="2:16" ht="18.75">
      <c r="B1" s="88" t="s">
        <v>196</v>
      </c>
      <c r="C1" s="88"/>
      <c r="D1" s="88"/>
    </row>
    <row r="2" spans="2:16" ht="15">
      <c r="B2" s="90" t="s">
        <v>457</v>
      </c>
      <c r="C2" s="90"/>
      <c r="D2" s="90"/>
      <c r="E2" s="91"/>
      <c r="F2" s="91"/>
      <c r="G2" s="91"/>
      <c r="H2" s="91"/>
      <c r="I2" s="92"/>
    </row>
    <row r="3" spans="2:16" s="99" customFormat="1">
      <c r="B3" s="93"/>
      <c r="C3" s="94"/>
      <c r="D3" s="94"/>
      <c r="E3" s="94"/>
      <c r="F3" s="94"/>
      <c r="G3" s="94"/>
      <c r="H3" s="94"/>
      <c r="I3" s="94"/>
      <c r="J3" s="95"/>
      <c r="K3" s="95"/>
      <c r="L3" s="95"/>
      <c r="M3" s="96"/>
      <c r="N3" s="97"/>
      <c r="O3" s="98"/>
    </row>
    <row r="4" spans="2:16" s="99" customFormat="1" ht="15" customHeight="1">
      <c r="B4" s="100" t="s">
        <v>391</v>
      </c>
      <c r="C4" s="101"/>
      <c r="D4" s="101"/>
      <c r="E4" s="101"/>
      <c r="F4" s="101"/>
      <c r="G4" s="101"/>
      <c r="H4" s="102"/>
      <c r="I4" s="102"/>
      <c r="J4" s="95"/>
      <c r="K4" s="95"/>
      <c r="L4" s="95"/>
      <c r="M4" s="96"/>
      <c r="N4" s="97"/>
      <c r="O4" s="98"/>
      <c r="P4" s="98"/>
    </row>
    <row r="5" spans="2:16" ht="15" customHeight="1">
      <c r="J5" s="91"/>
      <c r="K5" s="91"/>
      <c r="L5" s="91"/>
      <c r="M5" s="91"/>
      <c r="N5" s="91"/>
      <c r="O5" s="91"/>
    </row>
    <row r="6" spans="2:16" ht="15" customHeight="1">
      <c r="B6" s="103" t="s">
        <v>80</v>
      </c>
      <c r="C6" s="104"/>
      <c r="D6" s="104"/>
      <c r="E6" s="104"/>
      <c r="F6" s="105"/>
      <c r="G6" s="106"/>
      <c r="J6" s="91"/>
      <c r="K6" s="91"/>
      <c r="L6" s="91"/>
      <c r="M6" s="91"/>
      <c r="N6" s="91"/>
      <c r="O6" s="91"/>
    </row>
    <row r="7" spans="2:16" ht="15" customHeight="1">
      <c r="B7" s="107" t="s">
        <v>81</v>
      </c>
      <c r="E7" s="108">
        <v>2</v>
      </c>
      <c r="F7" s="107"/>
      <c r="G7" s="109"/>
    </row>
    <row r="8" spans="2:16" ht="15" customHeight="1">
      <c r="B8" s="107" t="s">
        <v>82</v>
      </c>
      <c r="E8" s="110" t="s">
        <v>83</v>
      </c>
      <c r="F8" s="107"/>
      <c r="G8" s="109"/>
    </row>
    <row r="9" spans="2:16" ht="15" customHeight="1">
      <c r="B9" s="89" t="s">
        <v>84</v>
      </c>
      <c r="E9" s="156">
        <v>6.3840000000000003</v>
      </c>
      <c r="F9" s="89" t="s">
        <v>85</v>
      </c>
    </row>
    <row r="10" spans="2:16" ht="15" customHeight="1">
      <c r="B10" s="89" t="s">
        <v>86</v>
      </c>
      <c r="E10" s="111">
        <v>990</v>
      </c>
      <c r="F10" s="89" t="s">
        <v>87</v>
      </c>
    </row>
    <row r="11" spans="2:16" ht="15" customHeight="1">
      <c r="B11" s="89" t="s">
        <v>88</v>
      </c>
      <c r="E11" s="112">
        <f>((6384*1000)/(1020*10^6))</f>
        <v>6.2588235294117646E-3</v>
      </c>
      <c r="F11" s="89" t="s">
        <v>394</v>
      </c>
    </row>
    <row r="12" spans="2:16" ht="15" customHeight="1">
      <c r="B12" s="89" t="s">
        <v>90</v>
      </c>
      <c r="E12" s="89">
        <v>100</v>
      </c>
      <c r="F12" s="89" t="s">
        <v>91</v>
      </c>
    </row>
    <row r="13" spans="2:16" ht="15" customHeight="1" thickBot="1"/>
    <row r="14" spans="2:16" ht="15" customHeight="1">
      <c r="B14" s="714" t="s">
        <v>249</v>
      </c>
      <c r="C14" s="159"/>
      <c r="D14" s="159"/>
      <c r="E14" s="160">
        <f>E11*8760</f>
        <v>54.827294117647057</v>
      </c>
      <c r="F14" s="161" t="s">
        <v>251</v>
      </c>
    </row>
    <row r="15" spans="2:16" ht="39" customHeight="1">
      <c r="B15" s="715"/>
      <c r="C15" s="106"/>
      <c r="D15" s="106"/>
      <c r="E15" s="347"/>
      <c r="F15" s="348"/>
    </row>
    <row r="16" spans="2:16" ht="30" customHeight="1">
      <c r="B16" s="716" t="s">
        <v>250</v>
      </c>
      <c r="C16" s="91"/>
      <c r="D16" s="91"/>
      <c r="E16" s="163">
        <f>E14*2</f>
        <v>109.65458823529411</v>
      </c>
      <c r="F16" s="162" t="s">
        <v>251</v>
      </c>
    </row>
    <row r="17" spans="2:8" ht="39.75" customHeight="1" thickBot="1">
      <c r="B17" s="717"/>
      <c r="C17" s="164"/>
      <c r="D17" s="164"/>
      <c r="E17" s="165"/>
      <c r="F17" s="166"/>
    </row>
    <row r="19" spans="2:8" ht="15" customHeight="1"/>
    <row r="20" spans="2:8" ht="15" customHeight="1">
      <c r="B20" s="106" t="s">
        <v>92</v>
      </c>
      <c r="C20" s="106"/>
      <c r="E20" s="111"/>
      <c r="G20" s="107"/>
    </row>
    <row r="21" spans="2:8" ht="15" customHeight="1">
      <c r="B21" s="113" t="s">
        <v>93</v>
      </c>
      <c r="C21" s="114">
        <v>1</v>
      </c>
      <c r="E21" s="111"/>
      <c r="G21" s="107"/>
    </row>
    <row r="22" spans="2:8" ht="15" customHeight="1">
      <c r="B22" s="113" t="s">
        <v>94</v>
      </c>
      <c r="C22" s="114">
        <v>25</v>
      </c>
      <c r="E22" s="111"/>
      <c r="G22" s="107"/>
    </row>
    <row r="23" spans="2:8" ht="15" customHeight="1">
      <c r="B23" s="113" t="s">
        <v>95</v>
      </c>
      <c r="C23" s="114">
        <v>298</v>
      </c>
      <c r="E23" s="111"/>
      <c r="G23" s="107"/>
    </row>
    <row r="24" spans="2:8" ht="15" customHeight="1">
      <c r="E24" s="111"/>
    </row>
    <row r="25" spans="2:8" ht="15" customHeight="1">
      <c r="E25" s="111"/>
    </row>
    <row r="26" spans="2:8" ht="15.75" customHeight="1" thickBot="1">
      <c r="B26" s="115" t="s">
        <v>198</v>
      </c>
    </row>
    <row r="27" spans="2:8" ht="21.75" customHeight="1">
      <c r="B27" s="207" t="s">
        <v>35</v>
      </c>
      <c r="C27" s="208" t="s">
        <v>431</v>
      </c>
      <c r="D27" s="209"/>
      <c r="E27" s="210"/>
      <c r="F27" s="712" t="s">
        <v>138</v>
      </c>
    </row>
    <row r="28" spans="2:8" ht="32.25" customHeight="1" thickBot="1">
      <c r="B28" s="211"/>
      <c r="C28" s="212" t="s">
        <v>36</v>
      </c>
      <c r="D28" s="213" t="s">
        <v>37</v>
      </c>
      <c r="E28" s="214" t="s">
        <v>38</v>
      </c>
      <c r="F28" s="713"/>
    </row>
    <row r="29" spans="2:8" ht="15" customHeight="1">
      <c r="B29" s="116" t="s">
        <v>6</v>
      </c>
      <c r="C29" s="117">
        <f>84</f>
        <v>84</v>
      </c>
      <c r="D29" s="527" t="s">
        <v>214</v>
      </c>
      <c r="E29" s="118">
        <f>C29*E11</f>
        <v>0.52574117647058827</v>
      </c>
      <c r="F29" s="349">
        <f>((E29*E$7)*8760)/2000</f>
        <v>4.6054927058823534</v>
      </c>
      <c r="H29" s="119"/>
    </row>
    <row r="30" spans="2:8" ht="15" customHeight="1">
      <c r="B30" s="120" t="s">
        <v>97</v>
      </c>
      <c r="C30" s="121">
        <f>100</f>
        <v>100</v>
      </c>
      <c r="D30" s="122" t="s">
        <v>214</v>
      </c>
      <c r="E30" s="123">
        <f t="shared" ref="E30:E40" si="0">C30*E$11</f>
        <v>0.62588235294117645</v>
      </c>
      <c r="F30" s="203">
        <f t="shared" ref="F30:F37" si="1">((E30*E$7)*8760)/2000</f>
        <v>5.482729411764705</v>
      </c>
    </row>
    <row r="31" spans="2:8" ht="15" customHeight="1">
      <c r="B31" s="124" t="s">
        <v>98</v>
      </c>
      <c r="C31" s="125">
        <f>1.9</f>
        <v>1.9</v>
      </c>
      <c r="D31" s="122" t="s">
        <v>233</v>
      </c>
      <c r="E31" s="123">
        <f t="shared" si="0"/>
        <v>1.1891764705882352E-2</v>
      </c>
      <c r="F31" s="202">
        <f t="shared" si="1"/>
        <v>0.1041718588235294</v>
      </c>
    </row>
    <row r="32" spans="2:8" ht="15" customHeight="1">
      <c r="B32" s="124" t="s">
        <v>99</v>
      </c>
      <c r="C32" s="125">
        <f>7.6</f>
        <v>7.6</v>
      </c>
      <c r="D32" s="122" t="s">
        <v>395</v>
      </c>
      <c r="E32" s="123">
        <f t="shared" si="0"/>
        <v>4.7567058823529407E-2</v>
      </c>
      <c r="F32" s="202">
        <f t="shared" si="1"/>
        <v>0.41668743529411761</v>
      </c>
    </row>
    <row r="33" spans="2:9" ht="15" customHeight="1">
      <c r="B33" s="124" t="s">
        <v>100</v>
      </c>
      <c r="C33" s="125">
        <f>7.6</f>
        <v>7.6</v>
      </c>
      <c r="D33" s="122" t="s">
        <v>395</v>
      </c>
      <c r="E33" s="123">
        <f t="shared" si="0"/>
        <v>4.7567058823529407E-2</v>
      </c>
      <c r="F33" s="202">
        <f t="shared" si="1"/>
        <v>0.41668743529411761</v>
      </c>
      <c r="H33" s="119"/>
    </row>
    <row r="34" spans="2:9" ht="15" customHeight="1">
      <c r="B34" s="126" t="s">
        <v>101</v>
      </c>
      <c r="C34" s="127">
        <v>0.6</v>
      </c>
      <c r="D34" s="128" t="s">
        <v>102</v>
      </c>
      <c r="E34" s="123">
        <f t="shared" si="0"/>
        <v>3.7552941176470585E-3</v>
      </c>
      <c r="F34" s="201">
        <f t="shared" si="1"/>
        <v>3.2896376470588233E-2</v>
      </c>
      <c r="H34" s="119"/>
    </row>
    <row r="35" spans="2:9" ht="15" customHeight="1">
      <c r="B35" s="124" t="s">
        <v>12</v>
      </c>
      <c r="C35" s="125">
        <f>5.5</f>
        <v>5.5</v>
      </c>
      <c r="D35" s="122" t="s">
        <v>180</v>
      </c>
      <c r="E35" s="123">
        <f t="shared" si="0"/>
        <v>3.4423529411764707E-2</v>
      </c>
      <c r="F35" s="202">
        <f t="shared" si="1"/>
        <v>0.3015501176470588</v>
      </c>
      <c r="H35" s="119"/>
    </row>
    <row r="36" spans="2:9" ht="15" customHeight="1">
      <c r="B36" s="124" t="s">
        <v>52</v>
      </c>
      <c r="C36" s="129">
        <f>0.0005</f>
        <v>5.0000000000000001E-4</v>
      </c>
      <c r="D36" s="122" t="s">
        <v>180</v>
      </c>
      <c r="E36" s="123">
        <f t="shared" si="0"/>
        <v>3.1294117647058825E-6</v>
      </c>
      <c r="F36" s="167">
        <f t="shared" si="1"/>
        <v>2.7413647058823531E-5</v>
      </c>
      <c r="H36" s="119"/>
    </row>
    <row r="37" spans="2:9" ht="15" customHeight="1" thickBot="1">
      <c r="B37" s="126" t="s">
        <v>103</v>
      </c>
      <c r="C37" s="145">
        <f>E37/E$11</f>
        <v>0.91874999999999996</v>
      </c>
      <c r="D37" s="146" t="s">
        <v>104</v>
      </c>
      <c r="E37" s="147">
        <f>E34*(('Gas Engines'!D17)/('Gas Engines'!D16))</f>
        <v>5.7502941176470583E-3</v>
      </c>
      <c r="F37" s="204">
        <f t="shared" si="1"/>
        <v>5.037257647058823E-2</v>
      </c>
      <c r="H37" s="119"/>
    </row>
    <row r="38" spans="2:9" s="131" customFormat="1" ht="13.9" customHeight="1">
      <c r="B38" s="148" t="s">
        <v>106</v>
      </c>
      <c r="C38" s="149">
        <f>120000</f>
        <v>120000</v>
      </c>
      <c r="D38" s="150" t="s">
        <v>180</v>
      </c>
      <c r="E38" s="151">
        <f t="shared" si="0"/>
        <v>751.05882352941171</v>
      </c>
      <c r="F38" s="152">
        <f>((E38*E$7)*8760)/2000</f>
        <v>6579.2752941176459</v>
      </c>
      <c r="H38" s="132"/>
      <c r="I38" s="133"/>
    </row>
    <row r="39" spans="2:9" s="131" customFormat="1" ht="13.9" customHeight="1">
      <c r="B39" s="130" t="s">
        <v>107</v>
      </c>
      <c r="C39" s="134">
        <f>2.3</f>
        <v>2.2999999999999998</v>
      </c>
      <c r="D39" s="122" t="s">
        <v>180</v>
      </c>
      <c r="E39" s="135">
        <f t="shared" si="0"/>
        <v>1.4395294117647058E-2</v>
      </c>
      <c r="F39" s="168">
        <f>((E39*E$7)*8760)/2000</f>
        <v>0.12610277647058823</v>
      </c>
      <c r="H39" s="132"/>
    </row>
    <row r="40" spans="2:9" s="131" customFormat="1" ht="13.9" customHeight="1">
      <c r="B40" s="130" t="s">
        <v>108</v>
      </c>
      <c r="C40" s="134">
        <f>2.2</f>
        <v>2.2000000000000002</v>
      </c>
      <c r="D40" s="122" t="s">
        <v>180</v>
      </c>
      <c r="E40" s="135">
        <f t="shared" si="0"/>
        <v>1.3769411764705882E-2</v>
      </c>
      <c r="F40" s="168">
        <f>((E40*E$7)*8760)/2000</f>
        <v>0.12062004705882354</v>
      </c>
      <c r="H40" s="132"/>
    </row>
    <row r="41" spans="2:9" ht="15" customHeight="1" thickBot="1">
      <c r="B41" s="153" t="s">
        <v>109</v>
      </c>
      <c r="C41" s="169" t="s">
        <v>15</v>
      </c>
      <c r="D41" s="136" t="s">
        <v>105</v>
      </c>
      <c r="E41" s="154" t="s">
        <v>15</v>
      </c>
      <c r="F41" s="155">
        <f>(F38*C21)+(F39*C22)+(F40*C23)</f>
        <v>6618.3726375529395</v>
      </c>
      <c r="H41" s="119"/>
    </row>
    <row r="42" spans="2:9" ht="15" customHeight="1"/>
    <row r="43" spans="2:9">
      <c r="H43" s="171"/>
    </row>
    <row r="44" spans="2:9" ht="13.5" thickBot="1">
      <c r="B44" s="170"/>
      <c r="C44" s="170"/>
      <c r="D44" s="171"/>
      <c r="E44" s="171"/>
      <c r="F44" s="171"/>
      <c r="G44" s="171"/>
      <c r="H44" s="171"/>
    </row>
    <row r="45" spans="2:9">
      <c r="B45" s="157" t="s">
        <v>139</v>
      </c>
      <c r="C45" s="215" t="s">
        <v>35</v>
      </c>
      <c r="D45" s="216" t="s">
        <v>140</v>
      </c>
      <c r="E45" s="217"/>
      <c r="F45" s="218"/>
      <c r="G45" s="219" t="s">
        <v>141</v>
      </c>
      <c r="H45" s="171"/>
    </row>
    <row r="46" spans="2:9" ht="13.5" thickBot="1">
      <c r="B46" s="158" t="s">
        <v>142</v>
      </c>
      <c r="C46" s="220"/>
      <c r="D46" s="221" t="s">
        <v>36</v>
      </c>
      <c r="E46" s="222" t="s">
        <v>37</v>
      </c>
      <c r="F46" s="223" t="s">
        <v>38</v>
      </c>
      <c r="G46" s="224" t="s">
        <v>143</v>
      </c>
      <c r="H46" s="171"/>
    </row>
    <row r="47" spans="2:9" ht="15">
      <c r="B47" s="172" t="s">
        <v>144</v>
      </c>
      <c r="C47" s="173" t="s">
        <v>39</v>
      </c>
      <c r="D47" s="174">
        <v>2.0999999999999999E-3</v>
      </c>
      <c r="E47" s="528" t="s">
        <v>397</v>
      </c>
      <c r="F47" s="175">
        <f>D47*E$11</f>
        <v>1.3143529411764704E-5</v>
      </c>
      <c r="G47" s="176">
        <f t="shared" ref="G47:G52" si="2">((F47*E$7)*8760)/2000</f>
        <v>1.1513731764705881E-4</v>
      </c>
      <c r="H47" s="171"/>
    </row>
    <row r="48" spans="2:9" ht="15">
      <c r="B48" s="177" t="s">
        <v>145</v>
      </c>
      <c r="C48" s="178" t="s">
        <v>146</v>
      </c>
      <c r="D48" s="179">
        <v>1.1999999999999999E-3</v>
      </c>
      <c r="E48" s="529" t="s">
        <v>397</v>
      </c>
      <c r="F48" s="180">
        <f t="shared" ref="F48:F52" si="3">D48*E$11</f>
        <v>7.5105882352941164E-6</v>
      </c>
      <c r="G48" s="176">
        <f t="shared" si="2"/>
        <v>6.5792752941176472E-5</v>
      </c>
      <c r="H48" s="171"/>
    </row>
    <row r="49" spans="2:8" ht="15">
      <c r="B49" s="177" t="s">
        <v>147</v>
      </c>
      <c r="C49" s="178" t="s">
        <v>40</v>
      </c>
      <c r="D49" s="179">
        <v>7.4999999999999997E-2</v>
      </c>
      <c r="E49" s="529" t="s">
        <v>397</v>
      </c>
      <c r="F49" s="180">
        <f t="shared" si="3"/>
        <v>4.6941176470588231E-4</v>
      </c>
      <c r="G49" s="176">
        <f t="shared" si="2"/>
        <v>4.1120470588235291E-3</v>
      </c>
      <c r="H49" s="171"/>
    </row>
    <row r="50" spans="2:8" ht="15">
      <c r="B50" s="177" t="s">
        <v>148</v>
      </c>
      <c r="C50" s="178" t="s">
        <v>41</v>
      </c>
      <c r="D50" s="179">
        <v>1.8</v>
      </c>
      <c r="E50" s="529" t="s">
        <v>397</v>
      </c>
      <c r="F50" s="180">
        <f t="shared" si="3"/>
        <v>1.1265882352941176E-2</v>
      </c>
      <c r="G50" s="176">
        <f t="shared" si="2"/>
        <v>9.8689129411764692E-2</v>
      </c>
      <c r="H50" s="187"/>
    </row>
    <row r="51" spans="2:8" ht="15">
      <c r="B51" s="177" t="s">
        <v>149</v>
      </c>
      <c r="C51" s="178" t="s">
        <v>150</v>
      </c>
      <c r="D51" s="179">
        <v>6.0999999999999997E-4</v>
      </c>
      <c r="E51" s="529" t="s">
        <v>397</v>
      </c>
      <c r="F51" s="180">
        <f t="shared" si="3"/>
        <v>3.8178823529411763E-6</v>
      </c>
      <c r="G51" s="176">
        <f t="shared" si="2"/>
        <v>3.3444649411764707E-5</v>
      </c>
      <c r="H51" s="187"/>
    </row>
    <row r="52" spans="2:8" ht="15">
      <c r="B52" s="181" t="s">
        <v>15</v>
      </c>
      <c r="C52" s="178" t="s">
        <v>42</v>
      </c>
      <c r="D52" s="179">
        <f>SUM(D53:D70)</f>
        <v>8.8200000000000016E-5</v>
      </c>
      <c r="E52" s="529" t="s">
        <v>400</v>
      </c>
      <c r="F52" s="180">
        <f t="shared" si="3"/>
        <v>5.5202823529411769E-7</v>
      </c>
      <c r="G52" s="176">
        <f t="shared" si="2"/>
        <v>4.8357673411764712E-6</v>
      </c>
      <c r="H52" s="187"/>
    </row>
    <row r="53" spans="2:8" ht="15">
      <c r="B53" s="182" t="s">
        <v>151</v>
      </c>
      <c r="C53" s="183" t="s">
        <v>152</v>
      </c>
      <c r="D53" s="184">
        <v>2.4000000000000001E-5</v>
      </c>
      <c r="E53" s="529" t="s">
        <v>401</v>
      </c>
      <c r="F53" s="185" t="s">
        <v>15</v>
      </c>
      <c r="G53" s="186" t="s">
        <v>15</v>
      </c>
      <c r="H53" s="187"/>
    </row>
    <row r="54" spans="2:8" ht="15">
      <c r="B54" s="182" t="s">
        <v>153</v>
      </c>
      <c r="C54" s="183" t="s">
        <v>154</v>
      </c>
      <c r="D54" s="184">
        <v>1.7999999999999999E-6</v>
      </c>
      <c r="E54" s="529" t="s">
        <v>401</v>
      </c>
      <c r="F54" s="185" t="s">
        <v>15</v>
      </c>
      <c r="G54" s="186" t="s">
        <v>15</v>
      </c>
      <c r="H54" s="187"/>
    </row>
    <row r="55" spans="2:8" ht="15">
      <c r="B55" s="182" t="s">
        <v>155</v>
      </c>
      <c r="C55" s="183" t="s">
        <v>156</v>
      </c>
      <c r="D55" s="184">
        <v>1.5999999999999999E-5</v>
      </c>
      <c r="E55" s="529" t="s">
        <v>401</v>
      </c>
      <c r="F55" s="185" t="s">
        <v>15</v>
      </c>
      <c r="G55" s="186" t="s">
        <v>15</v>
      </c>
      <c r="H55" s="187"/>
    </row>
    <row r="56" spans="2:8" ht="15">
      <c r="B56" s="182" t="s">
        <v>157</v>
      </c>
      <c r="C56" s="183" t="s">
        <v>43</v>
      </c>
      <c r="D56" s="184">
        <v>1.7999999999999999E-6</v>
      </c>
      <c r="E56" s="529" t="s">
        <v>401</v>
      </c>
      <c r="F56" s="185" t="s">
        <v>15</v>
      </c>
      <c r="G56" s="186" t="s">
        <v>15</v>
      </c>
      <c r="H56" s="187"/>
    </row>
    <row r="57" spans="2:8" ht="15">
      <c r="B57" s="182" t="s">
        <v>158</v>
      </c>
      <c r="C57" s="183" t="s">
        <v>44</v>
      </c>
      <c r="D57" s="184">
        <v>1.7999999999999999E-6</v>
      </c>
      <c r="E57" s="529" t="s">
        <v>401</v>
      </c>
      <c r="F57" s="185" t="s">
        <v>15</v>
      </c>
      <c r="G57" s="186" t="s">
        <v>15</v>
      </c>
      <c r="H57" s="187"/>
    </row>
    <row r="58" spans="2:8" ht="15">
      <c r="B58" s="182" t="s">
        <v>159</v>
      </c>
      <c r="C58" s="183" t="s">
        <v>160</v>
      </c>
      <c r="D58" s="184">
        <v>2.3999999999999999E-6</v>
      </c>
      <c r="E58" s="529" t="s">
        <v>401</v>
      </c>
      <c r="F58" s="185" t="s">
        <v>15</v>
      </c>
      <c r="G58" s="186" t="s">
        <v>15</v>
      </c>
      <c r="H58" s="187"/>
    </row>
    <row r="59" spans="2:8" ht="15">
      <c r="B59" s="182" t="s">
        <v>161</v>
      </c>
      <c r="C59" s="183" t="s">
        <v>162</v>
      </c>
      <c r="D59" s="184">
        <v>1.7999999999999999E-6</v>
      </c>
      <c r="E59" s="529" t="s">
        <v>401</v>
      </c>
      <c r="F59" s="185" t="s">
        <v>15</v>
      </c>
      <c r="G59" s="186" t="s">
        <v>15</v>
      </c>
      <c r="H59" s="187"/>
    </row>
    <row r="60" spans="2:8" ht="15">
      <c r="B60" s="182" t="s">
        <v>163</v>
      </c>
      <c r="C60" s="183" t="s">
        <v>164</v>
      </c>
      <c r="D60" s="184">
        <v>1.1999999999999999E-6</v>
      </c>
      <c r="E60" s="529" t="s">
        <v>401</v>
      </c>
      <c r="F60" s="185" t="s">
        <v>15</v>
      </c>
      <c r="G60" s="186" t="s">
        <v>15</v>
      </c>
      <c r="H60" s="187"/>
    </row>
    <row r="61" spans="2:8" ht="15">
      <c r="B61" s="182" t="s">
        <v>165</v>
      </c>
      <c r="C61" s="183" t="s">
        <v>45</v>
      </c>
      <c r="D61" s="184">
        <v>1.7999999999999999E-6</v>
      </c>
      <c r="E61" s="529" t="s">
        <v>401</v>
      </c>
      <c r="F61" s="185" t="s">
        <v>15</v>
      </c>
      <c r="G61" s="186" t="s">
        <v>15</v>
      </c>
      <c r="H61" s="187"/>
    </row>
    <row r="62" spans="2:8" ht="15">
      <c r="B62" s="182" t="s">
        <v>166</v>
      </c>
      <c r="C62" s="183" t="s">
        <v>46</v>
      </c>
      <c r="D62" s="184">
        <v>1.1999999999999999E-6</v>
      </c>
      <c r="E62" s="529" t="s">
        <v>401</v>
      </c>
      <c r="F62" s="185" t="s">
        <v>15</v>
      </c>
      <c r="G62" s="186" t="s">
        <v>15</v>
      </c>
      <c r="H62" s="187"/>
    </row>
    <row r="63" spans="2:8" ht="15">
      <c r="B63" s="182" t="s">
        <v>167</v>
      </c>
      <c r="C63" s="183" t="s">
        <v>168</v>
      </c>
      <c r="D63" s="184">
        <v>1.7999999999999999E-6</v>
      </c>
      <c r="E63" s="529" t="s">
        <v>401</v>
      </c>
      <c r="F63" s="185" t="s">
        <v>15</v>
      </c>
      <c r="G63" s="186" t="s">
        <v>15</v>
      </c>
      <c r="H63" s="187"/>
    </row>
    <row r="64" spans="2:8" ht="15">
      <c r="B64" s="182" t="s">
        <v>169</v>
      </c>
      <c r="C64" s="183" t="s">
        <v>47</v>
      </c>
      <c r="D64" s="184">
        <v>1.7999999999999999E-6</v>
      </c>
      <c r="E64" s="529" t="s">
        <v>401</v>
      </c>
      <c r="F64" s="185" t="s">
        <v>15</v>
      </c>
      <c r="G64" s="186" t="s">
        <v>15</v>
      </c>
      <c r="H64" s="187"/>
    </row>
    <row r="65" spans="2:8" ht="15">
      <c r="B65" s="182" t="s">
        <v>170</v>
      </c>
      <c r="C65" s="183" t="s">
        <v>171</v>
      </c>
      <c r="D65" s="184">
        <v>1.1999999999999999E-6</v>
      </c>
      <c r="E65" s="529" t="s">
        <v>401</v>
      </c>
      <c r="F65" s="185" t="s">
        <v>15</v>
      </c>
      <c r="G65" s="186" t="s">
        <v>15</v>
      </c>
      <c r="H65" s="187"/>
    </row>
    <row r="66" spans="2:8" ht="15">
      <c r="B66" s="182" t="s">
        <v>172</v>
      </c>
      <c r="C66" s="183" t="s">
        <v>48</v>
      </c>
      <c r="D66" s="184">
        <v>3.0000000000000001E-6</v>
      </c>
      <c r="E66" s="529" t="s">
        <v>401</v>
      </c>
      <c r="F66" s="185" t="s">
        <v>15</v>
      </c>
      <c r="G66" s="186" t="s">
        <v>15</v>
      </c>
      <c r="H66" s="187"/>
    </row>
    <row r="67" spans="2:8" ht="15">
      <c r="B67" s="182" t="s">
        <v>173</v>
      </c>
      <c r="C67" s="183" t="s">
        <v>49</v>
      </c>
      <c r="D67" s="184">
        <v>2.7999999999999999E-6</v>
      </c>
      <c r="E67" s="529" t="s">
        <v>401</v>
      </c>
      <c r="F67" s="185" t="s">
        <v>15</v>
      </c>
      <c r="G67" s="186" t="s">
        <v>15</v>
      </c>
      <c r="H67" s="187"/>
    </row>
    <row r="68" spans="2:8" ht="15">
      <c r="B68" s="182" t="s">
        <v>174</v>
      </c>
      <c r="C68" s="183" t="s">
        <v>175</v>
      </c>
      <c r="D68" s="184">
        <v>1.7999999999999999E-6</v>
      </c>
      <c r="E68" s="529" t="s">
        <v>401</v>
      </c>
      <c r="F68" s="185" t="s">
        <v>15</v>
      </c>
      <c r="G68" s="186" t="s">
        <v>15</v>
      </c>
      <c r="H68" s="171"/>
    </row>
    <row r="69" spans="2:8" ht="15">
      <c r="B69" s="182" t="s">
        <v>176</v>
      </c>
      <c r="C69" s="183" t="s">
        <v>177</v>
      </c>
      <c r="D69" s="184">
        <v>1.7E-5</v>
      </c>
      <c r="E69" s="529" t="s">
        <v>401</v>
      </c>
      <c r="F69" s="185" t="s">
        <v>15</v>
      </c>
      <c r="G69" s="186" t="s">
        <v>15</v>
      </c>
      <c r="H69" s="171"/>
    </row>
    <row r="70" spans="2:8" ht="15">
      <c r="B70" s="182" t="s">
        <v>178</v>
      </c>
      <c r="C70" s="183" t="s">
        <v>50</v>
      </c>
      <c r="D70" s="184">
        <v>5.0000000000000004E-6</v>
      </c>
      <c r="E70" s="529" t="s">
        <v>401</v>
      </c>
      <c r="F70" s="185" t="s">
        <v>15</v>
      </c>
      <c r="G70" s="186" t="s">
        <v>15</v>
      </c>
      <c r="H70" s="171"/>
    </row>
    <row r="71" spans="2:8" ht="15">
      <c r="B71" s="177" t="s">
        <v>179</v>
      </c>
      <c r="C71" s="178" t="s">
        <v>51</v>
      </c>
      <c r="D71" s="179">
        <v>3.3999999999999998E-3</v>
      </c>
      <c r="E71" s="529" t="s">
        <v>397</v>
      </c>
      <c r="F71" s="180">
        <f t="shared" ref="F71:F81" si="4">D71*E$11</f>
        <v>2.128E-5</v>
      </c>
      <c r="G71" s="176">
        <f t="shared" ref="G71:G81" si="5">((F71*E$7)*8760)/2000</f>
        <v>1.8641279999999998E-4</v>
      </c>
      <c r="H71" s="171"/>
    </row>
    <row r="72" spans="2:8" ht="15">
      <c r="B72" s="188" t="s">
        <v>180</v>
      </c>
      <c r="C72" s="178" t="s">
        <v>52</v>
      </c>
      <c r="D72" s="179">
        <v>5.0000000000000001E-4</v>
      </c>
      <c r="E72" s="529" t="s">
        <v>402</v>
      </c>
      <c r="F72" s="180">
        <f t="shared" si="4"/>
        <v>3.1294117647058825E-6</v>
      </c>
      <c r="G72" s="176">
        <f t="shared" si="5"/>
        <v>2.7413647058823531E-5</v>
      </c>
      <c r="H72" s="171"/>
    </row>
    <row r="73" spans="2:8" ht="15">
      <c r="B73" s="188" t="s">
        <v>180</v>
      </c>
      <c r="C73" s="178" t="s">
        <v>182</v>
      </c>
      <c r="D73" s="179">
        <v>2.0000000000000001E-4</v>
      </c>
      <c r="E73" s="529" t="s">
        <v>402</v>
      </c>
      <c r="F73" s="180">
        <f t="shared" si="4"/>
        <v>1.251764705882353E-6</v>
      </c>
      <c r="G73" s="176">
        <f t="shared" si="5"/>
        <v>1.0965458823529411E-5</v>
      </c>
      <c r="H73" s="171"/>
    </row>
    <row r="74" spans="2:8" ht="15">
      <c r="B74" s="188" t="s">
        <v>180</v>
      </c>
      <c r="C74" s="178" t="s">
        <v>184</v>
      </c>
      <c r="D74" s="179">
        <v>1.2E-5</v>
      </c>
      <c r="E74" s="529" t="s">
        <v>402</v>
      </c>
      <c r="F74" s="180">
        <f t="shared" si="4"/>
        <v>7.5105882352941179E-8</v>
      </c>
      <c r="G74" s="176">
        <f t="shared" si="5"/>
        <v>6.5792752941176474E-7</v>
      </c>
      <c r="H74" s="171"/>
    </row>
    <row r="75" spans="2:8" ht="15">
      <c r="B75" s="188" t="s">
        <v>180</v>
      </c>
      <c r="C75" s="178" t="s">
        <v>185</v>
      </c>
      <c r="D75" s="179">
        <v>1.1000000000000001E-3</v>
      </c>
      <c r="E75" s="529" t="s">
        <v>402</v>
      </c>
      <c r="F75" s="180">
        <f t="shared" si="4"/>
        <v>6.8847058823529411E-6</v>
      </c>
      <c r="G75" s="176">
        <f t="shared" si="5"/>
        <v>6.031002352941176E-5</v>
      </c>
      <c r="H75" s="171"/>
    </row>
    <row r="76" spans="2:8" ht="15">
      <c r="B76" s="188" t="s">
        <v>180</v>
      </c>
      <c r="C76" s="178" t="s">
        <v>186</v>
      </c>
      <c r="D76" s="179">
        <v>1.4E-3</v>
      </c>
      <c r="E76" s="529" t="s">
        <v>402</v>
      </c>
      <c r="F76" s="180">
        <f t="shared" si="4"/>
        <v>8.7623529411764696E-6</v>
      </c>
      <c r="G76" s="176">
        <f t="shared" si="5"/>
        <v>7.6758211764705881E-5</v>
      </c>
      <c r="H76" s="171"/>
    </row>
    <row r="77" spans="2:8" ht="15">
      <c r="B77" s="188" t="s">
        <v>180</v>
      </c>
      <c r="C77" s="178" t="s">
        <v>187</v>
      </c>
      <c r="D77" s="179">
        <v>8.3999999999999995E-5</v>
      </c>
      <c r="E77" s="529" t="s">
        <v>402</v>
      </c>
      <c r="F77" s="180">
        <f t="shared" si="4"/>
        <v>5.2574117647058818E-7</v>
      </c>
      <c r="G77" s="176">
        <f t="shared" si="5"/>
        <v>4.6054927058823528E-6</v>
      </c>
      <c r="H77" s="171"/>
    </row>
    <row r="78" spans="2:8" ht="15">
      <c r="B78" s="188" t="s">
        <v>180</v>
      </c>
      <c r="C78" s="178" t="s">
        <v>188</v>
      </c>
      <c r="D78" s="179">
        <v>3.8000000000000002E-4</v>
      </c>
      <c r="E78" s="529" t="s">
        <v>402</v>
      </c>
      <c r="F78" s="180">
        <f t="shared" si="4"/>
        <v>2.3783529411764707E-6</v>
      </c>
      <c r="G78" s="176">
        <f t="shared" si="5"/>
        <v>2.0834371764705884E-5</v>
      </c>
      <c r="H78" s="171"/>
    </row>
    <row r="79" spans="2:8" ht="15">
      <c r="B79" s="188" t="s">
        <v>180</v>
      </c>
      <c r="C79" s="178" t="s">
        <v>189</v>
      </c>
      <c r="D79" s="179">
        <v>2.5999999999999998E-4</v>
      </c>
      <c r="E79" s="529" t="s">
        <v>402</v>
      </c>
      <c r="F79" s="180">
        <f t="shared" si="4"/>
        <v>1.6272941176470586E-6</v>
      </c>
      <c r="G79" s="176">
        <f t="shared" si="5"/>
        <v>1.4255096470588233E-5</v>
      </c>
      <c r="H79" s="171"/>
    </row>
    <row r="80" spans="2:8" ht="15">
      <c r="B80" s="188" t="s">
        <v>180</v>
      </c>
      <c r="C80" s="178" t="s">
        <v>190</v>
      </c>
      <c r="D80" s="179">
        <v>2.0999999999999999E-3</v>
      </c>
      <c r="E80" s="529" t="s">
        <v>402</v>
      </c>
      <c r="F80" s="180">
        <f t="shared" si="4"/>
        <v>1.3143529411764704E-5</v>
      </c>
      <c r="G80" s="176">
        <f t="shared" si="5"/>
        <v>1.1513731764705881E-4</v>
      </c>
      <c r="H80" s="171"/>
    </row>
    <row r="81" spans="1:9" ht="15.75" thickBot="1">
      <c r="A81" s="171"/>
      <c r="B81" s="189" t="s">
        <v>180</v>
      </c>
      <c r="C81" s="190" t="s">
        <v>191</v>
      </c>
      <c r="D81" s="191">
        <v>2.4000000000000001E-5</v>
      </c>
      <c r="E81" s="530" t="s">
        <v>402</v>
      </c>
      <c r="F81" s="192">
        <f t="shared" si="4"/>
        <v>1.5021176470588236E-7</v>
      </c>
      <c r="G81" s="193">
        <f t="shared" si="5"/>
        <v>1.3158550588235295E-6</v>
      </c>
      <c r="H81" s="171"/>
      <c r="I81" s="225"/>
    </row>
    <row r="82" spans="1:9" ht="13.5" thickBot="1">
      <c r="A82" s="171"/>
      <c r="B82" s="194"/>
      <c r="C82" s="195"/>
      <c r="D82" s="196"/>
      <c r="E82" s="197"/>
      <c r="F82" s="198" t="s">
        <v>53</v>
      </c>
      <c r="G82" s="199">
        <f>SUM(G47:G81)</f>
        <v>0.10353905316028231</v>
      </c>
      <c r="H82" s="505"/>
      <c r="I82" s="225"/>
    </row>
    <row r="83" spans="1:9">
      <c r="A83" s="171"/>
      <c r="B83" s="200"/>
      <c r="C83" s="200"/>
      <c r="D83" s="531"/>
      <c r="E83" s="532"/>
      <c r="F83" s="533"/>
      <c r="G83" s="534"/>
      <c r="H83" s="535"/>
      <c r="I83" s="225"/>
    </row>
    <row r="84" spans="1:9" ht="15" customHeight="1">
      <c r="B84" s="536" t="s">
        <v>110</v>
      </c>
      <c r="C84" s="537"/>
      <c r="D84" s="537"/>
      <c r="E84" s="537"/>
      <c r="F84" s="537"/>
      <c r="G84" s="537"/>
      <c r="H84" s="537"/>
      <c r="I84" s="537"/>
    </row>
    <row r="85" spans="1:9" ht="15" customHeight="1">
      <c r="B85" s="225" t="s">
        <v>111</v>
      </c>
      <c r="C85" s="225"/>
      <c r="D85" s="225"/>
      <c r="E85" s="225"/>
      <c r="F85" s="225"/>
      <c r="G85" s="225"/>
      <c r="H85" s="225"/>
      <c r="I85" s="225"/>
    </row>
    <row r="86" spans="1:9" ht="15" customHeight="1">
      <c r="B86" s="225" t="s">
        <v>526</v>
      </c>
      <c r="C86" s="225"/>
      <c r="D86" s="225"/>
      <c r="E86" s="225"/>
      <c r="F86" s="225"/>
      <c r="G86" s="225"/>
      <c r="H86" s="225"/>
      <c r="I86" s="225"/>
    </row>
    <row r="87" spans="1:9" ht="15" customHeight="1">
      <c r="B87" s="225" t="s">
        <v>112</v>
      </c>
      <c r="C87" s="225"/>
      <c r="D87" s="225"/>
      <c r="E87" s="225"/>
      <c r="F87" s="225"/>
      <c r="G87" s="225"/>
      <c r="H87" s="225"/>
      <c r="I87" s="225"/>
    </row>
    <row r="88" spans="1:9" ht="15" customHeight="1">
      <c r="B88" s="225" t="s">
        <v>113</v>
      </c>
      <c r="C88" s="225"/>
      <c r="D88" s="225"/>
      <c r="E88" s="225"/>
      <c r="F88" s="225"/>
      <c r="G88" s="225"/>
      <c r="H88" s="225"/>
      <c r="I88" s="225"/>
    </row>
    <row r="89" spans="1:9" ht="15" customHeight="1">
      <c r="B89" s="512" t="s">
        <v>114</v>
      </c>
      <c r="C89" s="225"/>
      <c r="D89" s="225"/>
      <c r="E89" s="225"/>
      <c r="F89" s="225"/>
      <c r="G89" s="225"/>
      <c r="H89" s="225"/>
      <c r="I89" s="225"/>
    </row>
    <row r="90" spans="1:9" ht="15" customHeight="1">
      <c r="B90" s="505" t="s">
        <v>192</v>
      </c>
      <c r="C90" s="225"/>
      <c r="D90" s="225"/>
      <c r="E90" s="225"/>
      <c r="F90" s="225"/>
      <c r="G90" s="225"/>
      <c r="H90" s="225"/>
      <c r="I90" s="225"/>
    </row>
    <row r="91" spans="1:9" ht="15" customHeight="1">
      <c r="B91" s="512" t="s">
        <v>115</v>
      </c>
      <c r="C91" s="225"/>
      <c r="D91" s="225"/>
      <c r="E91" s="225"/>
      <c r="F91" s="225"/>
      <c r="G91" s="225"/>
      <c r="H91" s="225"/>
      <c r="I91" s="225"/>
    </row>
    <row r="92" spans="1:9" ht="15" customHeight="1">
      <c r="B92" s="512" t="s">
        <v>116</v>
      </c>
      <c r="C92" s="225"/>
      <c r="D92" s="225"/>
      <c r="E92" s="225"/>
      <c r="F92" s="225"/>
      <c r="G92" s="225"/>
      <c r="H92" s="225"/>
      <c r="I92" s="225"/>
    </row>
    <row r="93" spans="1:9" ht="15" customHeight="1">
      <c r="B93" s="512" t="s">
        <v>117</v>
      </c>
      <c r="C93" s="225"/>
      <c r="D93" s="225"/>
      <c r="E93" s="225"/>
      <c r="F93" s="225"/>
      <c r="G93" s="225"/>
      <c r="H93" s="225"/>
      <c r="I93" s="225"/>
    </row>
    <row r="94" spans="1:9" ht="15" customHeight="1">
      <c r="B94" s="512" t="s">
        <v>118</v>
      </c>
      <c r="C94" s="225"/>
      <c r="D94" s="225"/>
      <c r="E94" s="225"/>
      <c r="F94" s="225"/>
      <c r="G94" s="225"/>
      <c r="H94" s="225"/>
      <c r="I94" s="225"/>
    </row>
    <row r="95" spans="1:9" ht="15" customHeight="1">
      <c r="B95" s="512" t="s">
        <v>351</v>
      </c>
      <c r="C95" s="225"/>
      <c r="D95" s="225"/>
      <c r="E95" s="225"/>
      <c r="F95" s="225"/>
      <c r="G95" s="225"/>
      <c r="H95" s="225"/>
      <c r="I95" s="225"/>
    </row>
    <row r="96" spans="1:9" ht="15" customHeight="1">
      <c r="B96" s="512" t="s">
        <v>119</v>
      </c>
      <c r="C96" s="225"/>
      <c r="D96" s="225"/>
      <c r="E96" s="225"/>
      <c r="F96" s="225"/>
      <c r="G96" s="225"/>
      <c r="H96" s="225"/>
      <c r="I96" s="225"/>
    </row>
    <row r="97" spans="2:9" ht="15" customHeight="1">
      <c r="B97" s="512" t="s">
        <v>120</v>
      </c>
      <c r="C97" s="225"/>
      <c r="D97" s="225"/>
      <c r="E97" s="225"/>
      <c r="F97" s="225"/>
      <c r="G97" s="225"/>
      <c r="H97" s="225"/>
      <c r="I97" s="225"/>
    </row>
    <row r="98" spans="2:9" ht="15" customHeight="1">
      <c r="B98" s="512" t="s">
        <v>121</v>
      </c>
      <c r="C98" s="225"/>
      <c r="D98" s="225"/>
      <c r="E98" s="225"/>
      <c r="F98" s="225"/>
      <c r="G98" s="225"/>
      <c r="H98" s="225"/>
      <c r="I98" s="225"/>
    </row>
    <row r="99" spans="2:9" ht="15" customHeight="1">
      <c r="B99" s="512" t="s">
        <v>432</v>
      </c>
      <c r="C99" s="225"/>
      <c r="D99" s="225"/>
      <c r="E99" s="225"/>
      <c r="F99" s="225"/>
      <c r="G99" s="225"/>
      <c r="H99" s="225"/>
      <c r="I99" s="225"/>
    </row>
    <row r="100" spans="2:9" ht="15" customHeight="1">
      <c r="B100" s="225" t="s">
        <v>122</v>
      </c>
      <c r="C100" s="225"/>
      <c r="D100" s="225"/>
      <c r="E100" s="225"/>
      <c r="F100" s="225"/>
      <c r="G100" s="225"/>
      <c r="H100" s="225"/>
      <c r="I100" s="225"/>
    </row>
    <row r="101" spans="2:9" ht="15" customHeight="1">
      <c r="B101" s="225" t="s">
        <v>399</v>
      </c>
      <c r="C101" s="225"/>
      <c r="D101" s="225"/>
      <c r="E101" s="225"/>
      <c r="F101" s="225"/>
      <c r="G101" s="225"/>
      <c r="H101" s="225"/>
      <c r="I101" s="225"/>
    </row>
    <row r="102" spans="2:9" ht="15" customHeight="1">
      <c r="B102" s="225" t="s">
        <v>398</v>
      </c>
      <c r="C102" s="225"/>
      <c r="D102" s="225"/>
      <c r="E102" s="225"/>
      <c r="F102" s="225"/>
      <c r="G102" s="225"/>
      <c r="H102" s="225"/>
      <c r="I102" s="225"/>
    </row>
    <row r="103" spans="2:9" ht="15" customHeight="1">
      <c r="B103" s="538" t="s">
        <v>403</v>
      </c>
      <c r="C103" s="225"/>
      <c r="D103" s="225"/>
      <c r="E103" s="225"/>
      <c r="F103" s="225"/>
      <c r="G103" s="225"/>
      <c r="H103" s="225"/>
      <c r="I103" s="225"/>
    </row>
    <row r="104" spans="2:9" ht="15" customHeight="1">
      <c r="B104" s="538"/>
      <c r="C104" s="225"/>
      <c r="D104" s="225"/>
      <c r="E104" s="225"/>
      <c r="F104" s="225"/>
      <c r="G104" s="225"/>
      <c r="H104" s="225"/>
      <c r="I104" s="225"/>
    </row>
    <row r="105" spans="2:9" ht="15" customHeight="1">
      <c r="B105" s="504" t="s">
        <v>123</v>
      </c>
      <c r="C105" s="225"/>
      <c r="D105" s="225"/>
      <c r="E105" s="225"/>
      <c r="F105" s="225"/>
      <c r="G105" s="225"/>
      <c r="H105" s="225"/>
      <c r="I105" s="225"/>
    </row>
    <row r="106" spans="2:9" ht="15" customHeight="1">
      <c r="B106" s="507" t="s">
        <v>124</v>
      </c>
      <c r="C106" s="507"/>
      <c r="D106" s="225"/>
      <c r="E106" s="225"/>
      <c r="F106" s="225"/>
      <c r="G106" s="225"/>
      <c r="H106" s="225"/>
      <c r="I106" s="225"/>
    </row>
    <row r="107" spans="2:9" ht="15" customHeight="1">
      <c r="B107" s="507" t="s">
        <v>125</v>
      </c>
      <c r="C107" s="507"/>
      <c r="D107" s="225"/>
      <c r="E107" s="225"/>
      <c r="F107" s="225"/>
      <c r="G107" s="225"/>
      <c r="H107" s="225"/>
      <c r="I107" s="225"/>
    </row>
    <row r="108" spans="2:9" ht="15" customHeight="1">
      <c r="B108" s="508" t="s">
        <v>126</v>
      </c>
      <c r="C108" s="509" t="s">
        <v>127</v>
      </c>
      <c r="D108" s="225"/>
      <c r="E108" s="225"/>
      <c r="F108" s="225"/>
      <c r="G108" s="225"/>
      <c r="H108" s="225"/>
      <c r="I108" s="225"/>
    </row>
    <row r="109" spans="2:9" ht="15" customHeight="1">
      <c r="B109" s="508"/>
      <c r="C109" s="509" t="s">
        <v>128</v>
      </c>
      <c r="D109" s="225"/>
      <c r="E109" s="225"/>
      <c r="F109" s="225"/>
      <c r="G109" s="225"/>
      <c r="H109" s="225"/>
      <c r="I109" s="225"/>
    </row>
    <row r="110" spans="2:9" ht="15" customHeight="1">
      <c r="B110" s="508" t="s">
        <v>129</v>
      </c>
      <c r="C110" s="509" t="s">
        <v>130</v>
      </c>
      <c r="D110" s="225"/>
      <c r="E110" s="225"/>
      <c r="F110" s="225"/>
      <c r="G110" s="225"/>
      <c r="H110" s="225"/>
      <c r="I110" s="225"/>
    </row>
    <row r="111" spans="2:9" ht="15" customHeight="1">
      <c r="B111" s="508"/>
      <c r="C111" s="509" t="s">
        <v>131</v>
      </c>
      <c r="D111" s="225"/>
      <c r="E111" s="225"/>
      <c r="F111" s="225"/>
      <c r="G111" s="225"/>
      <c r="H111" s="225"/>
      <c r="I111" s="225"/>
    </row>
    <row r="112" spans="2:9" ht="15" customHeight="1">
      <c r="B112" s="508" t="s">
        <v>194</v>
      </c>
      <c r="C112" s="509" t="s">
        <v>193</v>
      </c>
      <c r="D112" s="510"/>
      <c r="E112" s="510"/>
      <c r="F112" s="510"/>
      <c r="G112" s="510"/>
      <c r="H112" s="225"/>
      <c r="I112" s="225"/>
    </row>
    <row r="113" spans="2:9" ht="15" customHeight="1">
      <c r="B113" s="508"/>
      <c r="C113" s="509" t="s">
        <v>131</v>
      </c>
      <c r="D113" s="510"/>
      <c r="E113" s="510"/>
      <c r="F113" s="510"/>
      <c r="G113" s="510"/>
      <c r="H113" s="225"/>
      <c r="I113" s="225"/>
    </row>
    <row r="114" spans="2:9" ht="15" customHeight="1">
      <c r="B114" s="508" t="s">
        <v>396</v>
      </c>
      <c r="C114" s="509" t="s">
        <v>195</v>
      </c>
      <c r="D114" s="510"/>
      <c r="E114" s="510"/>
      <c r="F114" s="510"/>
      <c r="G114" s="510"/>
      <c r="H114" s="225"/>
      <c r="I114" s="225"/>
    </row>
    <row r="115" spans="2:9" ht="15" customHeight="1">
      <c r="B115" s="225" t="s">
        <v>132</v>
      </c>
      <c r="C115" s="225"/>
      <c r="D115" s="225"/>
      <c r="E115" s="225"/>
      <c r="F115" s="225"/>
      <c r="G115" s="225"/>
      <c r="H115" s="225"/>
      <c r="I115" s="225"/>
    </row>
    <row r="116" spans="2:9" ht="14.25">
      <c r="B116" s="225" t="s">
        <v>133</v>
      </c>
      <c r="C116" s="225"/>
      <c r="D116" s="225"/>
      <c r="E116" s="225"/>
      <c r="F116" s="225"/>
      <c r="G116" s="225"/>
      <c r="H116" s="505"/>
      <c r="I116" s="225"/>
    </row>
    <row r="117" spans="2:9">
      <c r="B117" s="225" t="s">
        <v>134</v>
      </c>
      <c r="C117" s="225"/>
      <c r="D117" s="225"/>
      <c r="E117" s="225"/>
      <c r="F117" s="225"/>
      <c r="G117" s="225"/>
      <c r="H117" s="505"/>
      <c r="I117" s="225"/>
    </row>
  </sheetData>
  <mergeCells count="3">
    <mergeCell ref="F27:F28"/>
    <mergeCell ref="B14:B15"/>
    <mergeCell ref="B16:B17"/>
  </mergeCells>
  <pageMargins left="0.75" right="0.75" top="1" bottom="1" header="0.5" footer="0.5"/>
  <pageSetup paperSize="3" scale="59" orientation="portrait" r:id="rId1"/>
  <headerFooter alignWithMargins="0"/>
  <rowBreaks count="1" manualBreakCount="1">
    <brk id="4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4"/>
  <sheetViews>
    <sheetView view="pageBreakPreview" topLeftCell="A13" zoomScaleNormal="100" zoomScaleSheetLayoutView="100" workbookViewId="0">
      <selection activeCell="H15" sqref="H15"/>
    </sheetView>
  </sheetViews>
  <sheetFormatPr defaultRowHeight="15"/>
  <cols>
    <col min="1" max="1" width="1.7109375" style="372" customWidth="1"/>
    <col min="2" max="2" width="9.140625" style="372"/>
    <col min="3" max="4" width="3.42578125" style="372" customWidth="1"/>
    <col min="5" max="7" width="9.140625" style="372"/>
    <col min="8" max="8" width="43.28515625" style="372" customWidth="1"/>
    <col min="9" max="9" width="8.42578125" style="372" customWidth="1"/>
    <col min="10" max="10" width="9.140625" style="372"/>
    <col min="11" max="13" width="3.42578125" style="372" customWidth="1"/>
    <col min="14" max="14" width="9.140625" style="372"/>
    <col min="15" max="15" width="1.7109375" style="372" customWidth="1"/>
    <col min="16" max="16384" width="9.140625" style="372"/>
  </cols>
  <sheetData>
    <row r="1" spans="1:16" ht="18.75">
      <c r="A1" s="227"/>
      <c r="B1" s="226" t="s">
        <v>196</v>
      </c>
      <c r="C1" s="227"/>
      <c r="D1" s="227"/>
      <c r="E1" s="227"/>
      <c r="F1" s="227"/>
      <c r="G1" s="227"/>
      <c r="H1" s="227"/>
      <c r="I1" s="227"/>
      <c r="J1" s="227"/>
      <c r="K1" s="227"/>
      <c r="L1" s="227"/>
      <c r="M1" s="227"/>
      <c r="N1" s="227"/>
      <c r="O1" s="227"/>
    </row>
    <row r="2" spans="1:16">
      <c r="A2" s="227"/>
      <c r="B2" s="228" t="s">
        <v>457</v>
      </c>
      <c r="C2" s="227"/>
      <c r="D2" s="227"/>
      <c r="E2" s="227"/>
      <c r="F2" s="227"/>
      <c r="G2" s="227"/>
      <c r="H2" s="227"/>
      <c r="I2" s="227"/>
      <c r="J2" s="227"/>
      <c r="K2" s="227"/>
      <c r="L2" s="227"/>
      <c r="M2" s="227"/>
      <c r="N2" s="227"/>
      <c r="O2" s="227"/>
    </row>
    <row r="3" spans="1:16">
      <c r="A3" s="227"/>
      <c r="B3" s="227"/>
      <c r="C3" s="407"/>
      <c r="D3" s="408"/>
      <c r="E3" s="408"/>
      <c r="F3" s="408"/>
      <c r="G3" s="408"/>
      <c r="H3" s="408"/>
      <c r="I3" s="408"/>
      <c r="J3" s="408"/>
      <c r="K3" s="408"/>
      <c r="L3" s="408"/>
      <c r="M3" s="408"/>
      <c r="N3" s="408"/>
      <c r="O3" s="227"/>
    </row>
    <row r="4" spans="1:16">
      <c r="A4" s="227"/>
      <c r="B4" s="100" t="s">
        <v>458</v>
      </c>
      <c r="C4" s="407"/>
      <c r="D4" s="408"/>
      <c r="E4" s="408"/>
      <c r="F4" s="408"/>
      <c r="G4" s="408"/>
      <c r="H4" s="408"/>
      <c r="I4" s="408"/>
      <c r="J4" s="408"/>
      <c r="K4" s="408"/>
      <c r="L4" s="227"/>
      <c r="M4" s="420"/>
      <c r="N4" s="420"/>
      <c r="O4" s="227"/>
    </row>
    <row r="5" spans="1:16" ht="15.75" thickBot="1">
      <c r="A5" s="227"/>
      <c r="B5" s="227"/>
      <c r="C5" s="227"/>
      <c r="D5" s="227"/>
      <c r="E5" s="409"/>
      <c r="F5" s="245"/>
      <c r="G5" s="245"/>
      <c r="H5" s="245"/>
      <c r="I5" s="245"/>
      <c r="J5" s="245"/>
      <c r="K5" s="245"/>
      <c r="L5" s="410"/>
      <c r="M5" s="245"/>
      <c r="N5" s="227"/>
      <c r="O5" s="227"/>
    </row>
    <row r="6" spans="1:16" ht="15.75" thickBot="1">
      <c r="A6" s="227"/>
      <c r="B6" s="227"/>
      <c r="C6" s="411"/>
      <c r="D6" s="412"/>
      <c r="E6" s="412"/>
      <c r="F6" s="412"/>
      <c r="G6" s="412"/>
      <c r="H6" s="412"/>
      <c r="I6" s="412"/>
      <c r="J6" s="412"/>
      <c r="K6" s="412"/>
      <c r="L6" s="413"/>
      <c r="M6" s="245"/>
      <c r="N6" s="227"/>
      <c r="O6" s="227"/>
    </row>
    <row r="7" spans="1:16" ht="15.75" thickBot="1">
      <c r="A7" s="227"/>
      <c r="B7" s="227"/>
      <c r="C7" s="244"/>
      <c r="D7" s="245"/>
      <c r="E7" s="414" t="s">
        <v>280</v>
      </c>
      <c r="F7" s="415"/>
      <c r="G7" s="415"/>
      <c r="H7" s="415"/>
      <c r="I7" s="415"/>
      <c r="J7" s="416"/>
      <c r="K7" s="245"/>
      <c r="L7" s="417"/>
      <c r="M7" s="245"/>
      <c r="N7" s="227"/>
      <c r="O7" s="227"/>
    </row>
    <row r="8" spans="1:16" ht="15.75">
      <c r="A8" s="227"/>
      <c r="B8" s="227"/>
      <c r="C8" s="244"/>
      <c r="D8" s="245"/>
      <c r="E8" s="432" t="s">
        <v>415</v>
      </c>
      <c r="F8" s="433"/>
      <c r="G8" s="433"/>
      <c r="H8" s="433"/>
      <c r="I8" s="418">
        <v>10</v>
      </c>
      <c r="J8" s="26" t="s">
        <v>281</v>
      </c>
      <c r="K8" s="245"/>
      <c r="L8" s="417"/>
      <c r="M8" s="245"/>
      <c r="N8" s="227"/>
      <c r="O8" s="227"/>
    </row>
    <row r="9" spans="1:16" ht="15.75">
      <c r="A9" s="227"/>
      <c r="B9" s="227"/>
      <c r="C9" s="244"/>
      <c r="D9" s="245"/>
      <c r="E9" s="419" t="s">
        <v>416</v>
      </c>
      <c r="F9" s="245"/>
      <c r="G9" s="420"/>
      <c r="H9" s="420"/>
      <c r="I9" s="38">
        <v>45</v>
      </c>
      <c r="J9" s="27" t="s">
        <v>406</v>
      </c>
      <c r="K9" s="245"/>
      <c r="L9" s="417"/>
      <c r="M9" s="245"/>
      <c r="N9" s="227"/>
      <c r="O9" s="227"/>
    </row>
    <row r="10" spans="1:16" ht="15.75">
      <c r="A10" s="227"/>
      <c r="B10" s="227"/>
      <c r="C10" s="244"/>
      <c r="D10" s="245"/>
      <c r="E10" s="718" t="s">
        <v>410</v>
      </c>
      <c r="F10" s="719"/>
      <c r="G10" s="719"/>
      <c r="H10" s="719"/>
      <c r="I10" s="241">
        <v>68</v>
      </c>
      <c r="J10" s="142" t="s">
        <v>326</v>
      </c>
      <c r="K10" s="245"/>
      <c r="L10" s="417"/>
      <c r="M10" s="245"/>
      <c r="N10" s="227"/>
      <c r="O10" s="227"/>
    </row>
    <row r="11" spans="1:16">
      <c r="A11" s="227"/>
      <c r="B11" s="227"/>
      <c r="C11" s="244"/>
      <c r="D11" s="245"/>
      <c r="E11" s="419" t="s">
        <v>282</v>
      </c>
      <c r="F11" s="420"/>
      <c r="G11" s="420"/>
      <c r="H11" s="420"/>
      <c r="I11" s="421">
        <v>34.083449999999999</v>
      </c>
      <c r="J11" s="27" t="s">
        <v>17</v>
      </c>
      <c r="K11" s="245"/>
      <c r="L11" s="417"/>
      <c r="M11" s="245"/>
      <c r="N11" s="227"/>
      <c r="O11" s="227"/>
      <c r="P11" s="1"/>
    </row>
    <row r="12" spans="1:16">
      <c r="A12" s="227"/>
      <c r="B12" s="227"/>
      <c r="C12" s="244"/>
      <c r="D12" s="245"/>
      <c r="E12" s="422" t="s">
        <v>283</v>
      </c>
      <c r="F12" s="420"/>
      <c r="G12" s="420"/>
      <c r="H12" s="420"/>
      <c r="I12" s="421">
        <v>8760</v>
      </c>
      <c r="J12" s="27" t="s">
        <v>284</v>
      </c>
      <c r="K12" s="245"/>
      <c r="L12" s="417"/>
      <c r="M12" s="245"/>
      <c r="N12" s="227"/>
      <c r="O12" s="227"/>
    </row>
    <row r="13" spans="1:16" ht="15.75">
      <c r="A13" s="227"/>
      <c r="B13" s="227"/>
      <c r="C13" s="244"/>
      <c r="D13" s="245"/>
      <c r="E13" s="422" t="s">
        <v>407</v>
      </c>
      <c r="F13" s="420"/>
      <c r="G13" s="420"/>
      <c r="H13" s="420"/>
      <c r="I13" s="421">
        <v>95</v>
      </c>
      <c r="J13" s="27" t="s">
        <v>135</v>
      </c>
      <c r="K13" s="245"/>
      <c r="L13" s="417"/>
      <c r="M13" s="245"/>
      <c r="N13" s="227"/>
      <c r="O13" s="227"/>
    </row>
    <row r="14" spans="1:16" ht="16.5" thickBot="1">
      <c r="A14" s="227"/>
      <c r="B14" s="227"/>
      <c r="C14" s="244"/>
      <c r="D14" s="245"/>
      <c r="E14" s="50" t="s">
        <v>411</v>
      </c>
      <c r="F14" s="434"/>
      <c r="G14" s="434"/>
      <c r="H14" s="410"/>
      <c r="I14" s="435"/>
      <c r="J14" s="52"/>
      <c r="K14" s="245"/>
      <c r="L14" s="417"/>
      <c r="M14" s="245"/>
      <c r="N14" s="227"/>
      <c r="O14" s="227"/>
    </row>
    <row r="15" spans="1:16">
      <c r="A15" s="227"/>
      <c r="B15" s="227"/>
      <c r="C15" s="244"/>
      <c r="D15" s="245"/>
      <c r="E15" s="419" t="s">
        <v>412</v>
      </c>
      <c r="F15" s="412"/>
      <c r="G15" s="412"/>
      <c r="H15" s="245"/>
      <c r="I15" s="423">
        <v>12000</v>
      </c>
      <c r="J15" s="25" t="s">
        <v>10</v>
      </c>
      <c r="K15" s="245"/>
      <c r="L15" s="417"/>
      <c r="M15" s="245"/>
      <c r="N15" s="227"/>
      <c r="O15" s="227"/>
    </row>
    <row r="16" spans="1:16">
      <c r="A16" s="227"/>
      <c r="B16" s="227"/>
      <c r="C16" s="244"/>
      <c r="D16" s="245"/>
      <c r="E16" s="419" t="s">
        <v>413</v>
      </c>
      <c r="F16" s="245"/>
      <c r="G16" s="245"/>
      <c r="H16" s="245"/>
      <c r="I16" s="423">
        <v>12000</v>
      </c>
      <c r="J16" s="25" t="s">
        <v>10</v>
      </c>
      <c r="K16" s="245"/>
      <c r="L16" s="417"/>
      <c r="M16" s="245"/>
      <c r="N16" s="227"/>
      <c r="O16" s="227"/>
    </row>
    <row r="17" spans="1:16" ht="16.5" thickBot="1">
      <c r="A17" s="227"/>
      <c r="B17" s="227"/>
      <c r="C17" s="244"/>
      <c r="D17" s="245"/>
      <c r="E17" s="439" t="s">
        <v>467</v>
      </c>
      <c r="F17" s="427"/>
      <c r="G17" s="427"/>
      <c r="H17" s="427"/>
      <c r="I17" s="440">
        <v>24000</v>
      </c>
      <c r="J17" s="441" t="s">
        <v>10</v>
      </c>
      <c r="K17" s="245"/>
      <c r="L17" s="417"/>
      <c r="M17" s="245"/>
      <c r="N17" s="227"/>
      <c r="O17" s="227"/>
    </row>
    <row r="18" spans="1:16" ht="15.75">
      <c r="A18" s="227"/>
      <c r="B18" s="227"/>
      <c r="C18" s="244"/>
      <c r="D18" s="245"/>
      <c r="E18" s="431" t="s">
        <v>468</v>
      </c>
      <c r="F18" s="436"/>
      <c r="G18" s="436"/>
      <c r="H18" s="436"/>
      <c r="I18" s="437"/>
      <c r="J18" s="438"/>
      <c r="K18" s="245"/>
      <c r="L18" s="417"/>
      <c r="M18" s="245"/>
      <c r="N18" s="227"/>
      <c r="O18" s="227"/>
    </row>
    <row r="19" spans="1:16">
      <c r="A19" s="227"/>
      <c r="B19" s="227"/>
      <c r="C19" s="244"/>
      <c r="D19" s="245"/>
      <c r="E19" s="419" t="s">
        <v>412</v>
      </c>
      <c r="F19" s="245"/>
      <c r="G19" s="245"/>
      <c r="H19" s="245"/>
      <c r="I19" s="539">
        <f>(((I8*$I$11)/(10^6*0.7302*($I$10+459.67))*$I15*60*8760)/2000)*((100-$I$13)/100)</f>
        <v>0.13948128108939381</v>
      </c>
      <c r="J19" s="25" t="s">
        <v>26</v>
      </c>
      <c r="K19" s="245"/>
      <c r="L19" s="417"/>
      <c r="M19" s="245"/>
      <c r="N19" s="227"/>
      <c r="O19" s="227"/>
      <c r="P19" s="424"/>
    </row>
    <row r="20" spans="1:16">
      <c r="A20" s="227"/>
      <c r="B20" s="227"/>
      <c r="C20" s="244"/>
      <c r="D20" s="245"/>
      <c r="E20" s="419" t="s">
        <v>413</v>
      </c>
      <c r="F20" s="245"/>
      <c r="G20" s="245"/>
      <c r="H20" s="245"/>
      <c r="I20" s="539">
        <f>(((I8*$I$11)/(10^6*0.7302*($I$10+459.67))*$I16*60*8760)/2000)*((100-$I$13)/100)</f>
        <v>0.13948128108939381</v>
      </c>
      <c r="J20" s="25" t="s">
        <v>26</v>
      </c>
      <c r="K20" s="245"/>
      <c r="L20" s="417"/>
      <c r="M20" s="245"/>
      <c r="N20" s="227"/>
      <c r="O20" s="227"/>
      <c r="P20" s="425"/>
    </row>
    <row r="21" spans="1:16" ht="15.75">
      <c r="A21" s="227"/>
      <c r="B21" s="227"/>
      <c r="C21" s="244"/>
      <c r="D21" s="245"/>
      <c r="E21" s="419" t="s">
        <v>467</v>
      </c>
      <c r="F21" s="245"/>
      <c r="G21" s="245"/>
      <c r="H21" s="245"/>
      <c r="I21" s="540">
        <f>(((I9*$I$11)/(10^6*0.7302*($I$10+459.67))*$I17*60*8760)/2000)*((100-$I$13)/100)</f>
        <v>1.2553315298045442</v>
      </c>
      <c r="J21" s="25" t="s">
        <v>26</v>
      </c>
      <c r="K21" s="245"/>
      <c r="L21" s="417"/>
      <c r="M21" s="245"/>
      <c r="N21" s="227"/>
      <c r="O21" s="227"/>
      <c r="P21" s="424"/>
    </row>
    <row r="22" spans="1:16" ht="15.75" thickBot="1">
      <c r="A22" s="227"/>
      <c r="B22" s="227"/>
      <c r="C22" s="244"/>
      <c r="D22" s="245"/>
      <c r="E22" s="426"/>
      <c r="F22" s="427"/>
      <c r="G22" s="427"/>
      <c r="H22" s="428" t="s">
        <v>285</v>
      </c>
      <c r="I22" s="541">
        <f>SUM(I19:I21)</f>
        <v>1.5342940919833319</v>
      </c>
      <c r="J22" s="429" t="s">
        <v>26</v>
      </c>
      <c r="K22" s="245"/>
      <c r="L22" s="417"/>
      <c r="M22" s="245"/>
      <c r="N22" s="227"/>
      <c r="O22" s="227"/>
    </row>
    <row r="23" spans="1:16" ht="15.75" thickBot="1">
      <c r="A23" s="227"/>
      <c r="B23" s="227"/>
      <c r="C23" s="426"/>
      <c r="D23" s="427"/>
      <c r="E23" s="427"/>
      <c r="F23" s="427"/>
      <c r="G23" s="427"/>
      <c r="H23" s="427"/>
      <c r="I23" s="427"/>
      <c r="J23" s="427"/>
      <c r="K23" s="427"/>
      <c r="L23" s="430"/>
      <c r="M23" s="245"/>
      <c r="N23" s="227"/>
      <c r="O23" s="227"/>
    </row>
    <row r="24" spans="1:16">
      <c r="A24" s="227"/>
      <c r="B24" s="227"/>
      <c r="C24" s="227"/>
      <c r="D24" s="227"/>
      <c r="E24" s="227"/>
      <c r="F24" s="227"/>
      <c r="G24" s="227"/>
      <c r="H24" s="227"/>
      <c r="I24" s="227"/>
      <c r="J24" s="227"/>
      <c r="K24" s="227"/>
      <c r="L24" s="227"/>
      <c r="M24" s="227"/>
      <c r="N24" s="227"/>
      <c r="O24" s="227"/>
    </row>
    <row r="25" spans="1:16">
      <c r="A25" s="227"/>
      <c r="B25" s="227"/>
      <c r="C25" s="227"/>
      <c r="D25" s="408"/>
      <c r="E25" s="407" t="s">
        <v>286</v>
      </c>
      <c r="F25" s="408"/>
      <c r="G25" s="408"/>
      <c r="H25" s="408"/>
      <c r="I25" s="408"/>
      <c r="J25" s="408"/>
      <c r="K25" s="408"/>
      <c r="L25" s="408"/>
      <c r="M25" s="245"/>
      <c r="N25" s="227"/>
      <c r="O25" s="227"/>
    </row>
    <row r="26" spans="1:16">
      <c r="A26" s="227"/>
      <c r="B26" s="227"/>
      <c r="C26" s="227"/>
      <c r="D26" s="245"/>
      <c r="E26" s="514" t="s">
        <v>352</v>
      </c>
      <c r="F26" s="245"/>
      <c r="G26" s="245"/>
      <c r="H26" s="245"/>
      <c r="I26" s="245"/>
      <c r="J26" s="245"/>
      <c r="K26" s="245"/>
      <c r="L26" s="245"/>
      <c r="M26" s="245"/>
      <c r="N26" s="227"/>
      <c r="O26" s="227"/>
    </row>
    <row r="27" spans="1:16">
      <c r="A27" s="227"/>
      <c r="B27" s="227"/>
      <c r="C27" s="227"/>
      <c r="D27" s="227"/>
      <c r="E27" s="240" t="s">
        <v>438</v>
      </c>
      <c r="F27" s="227"/>
      <c r="G27" s="227"/>
      <c r="H27" s="227"/>
      <c r="I27" s="227"/>
      <c r="J27" s="227"/>
      <c r="K27" s="227"/>
      <c r="L27" s="227"/>
      <c r="M27" s="227"/>
      <c r="N27" s="227"/>
      <c r="O27" s="227"/>
    </row>
    <row r="28" spans="1:16">
      <c r="A28" s="227"/>
      <c r="B28" s="227"/>
      <c r="C28" s="227"/>
      <c r="D28" s="227"/>
      <c r="E28" s="240" t="s">
        <v>405</v>
      </c>
      <c r="F28" s="227"/>
      <c r="G28" s="227"/>
      <c r="H28" s="227"/>
      <c r="I28" s="227"/>
      <c r="J28" s="227"/>
      <c r="K28" s="227"/>
      <c r="L28" s="227"/>
      <c r="M28" s="227"/>
      <c r="N28" s="227"/>
      <c r="O28" s="227"/>
    </row>
    <row r="29" spans="1:16">
      <c r="A29" s="227"/>
      <c r="B29" s="227"/>
      <c r="C29" s="227"/>
      <c r="D29" s="227"/>
      <c r="E29" s="240" t="s">
        <v>408</v>
      </c>
      <c r="F29" s="227"/>
      <c r="G29" s="227"/>
      <c r="H29" s="227"/>
      <c r="I29" s="227"/>
      <c r="J29" s="227"/>
      <c r="K29" s="227"/>
      <c r="L29" s="227"/>
      <c r="M29" s="227"/>
      <c r="N29" s="227"/>
      <c r="O29" s="227"/>
    </row>
    <row r="30" spans="1:16">
      <c r="A30" s="227"/>
      <c r="B30" s="240"/>
      <c r="C30" s="240"/>
      <c r="D30" s="240"/>
      <c r="E30" s="240" t="s">
        <v>409</v>
      </c>
      <c r="F30" s="240"/>
      <c r="G30" s="240"/>
      <c r="H30" s="240"/>
      <c r="I30" s="240"/>
      <c r="J30" s="240"/>
      <c r="K30" s="240"/>
      <c r="L30" s="240"/>
      <c r="M30" s="240"/>
      <c r="N30" s="240"/>
      <c r="O30" s="240"/>
    </row>
    <row r="31" spans="1:16">
      <c r="A31" s="227"/>
      <c r="B31" s="240"/>
      <c r="C31" s="240"/>
      <c r="D31" s="240"/>
      <c r="E31" s="240" t="s">
        <v>465</v>
      </c>
      <c r="F31" s="240"/>
      <c r="G31" s="240"/>
      <c r="H31" s="240"/>
      <c r="I31" s="240"/>
      <c r="J31" s="240"/>
      <c r="K31" s="240"/>
      <c r="L31" s="240"/>
      <c r="M31" s="240"/>
      <c r="N31" s="240"/>
      <c r="O31" s="240"/>
    </row>
    <row r="32" spans="1:16">
      <c r="A32" s="227"/>
      <c r="B32" s="240"/>
      <c r="C32" s="240"/>
      <c r="D32" s="240"/>
      <c r="E32" s="240" t="s">
        <v>414</v>
      </c>
      <c r="F32" s="240"/>
      <c r="G32" s="240"/>
      <c r="H32" s="240"/>
      <c r="I32" s="240"/>
      <c r="J32" s="240"/>
      <c r="K32" s="240"/>
      <c r="L32" s="240"/>
      <c r="M32" s="240"/>
      <c r="N32" s="240"/>
      <c r="O32" s="240"/>
    </row>
    <row r="33" spans="1:15">
      <c r="A33" s="227"/>
      <c r="B33" s="240"/>
      <c r="C33" s="240"/>
      <c r="D33" s="240"/>
      <c r="E33" s="240" t="s">
        <v>466</v>
      </c>
      <c r="F33" s="240"/>
      <c r="G33" s="240"/>
      <c r="H33" s="240"/>
      <c r="I33" s="240"/>
      <c r="J33" s="240"/>
      <c r="K33" s="240"/>
      <c r="L33" s="240"/>
      <c r="M33" s="240"/>
      <c r="N33" s="240"/>
      <c r="O33" s="240"/>
    </row>
    <row r="34" spans="1:15">
      <c r="A34" s="227"/>
      <c r="B34" s="227"/>
      <c r="C34" s="227"/>
      <c r="D34" s="227"/>
      <c r="E34" s="240"/>
      <c r="F34" s="227"/>
      <c r="G34" s="227"/>
      <c r="H34" s="227"/>
      <c r="I34" s="227"/>
      <c r="J34" s="227"/>
      <c r="K34" s="227"/>
      <c r="L34" s="227"/>
      <c r="M34" s="227"/>
      <c r="N34" s="227"/>
    </row>
  </sheetData>
  <mergeCells count="1">
    <mergeCell ref="E10:H10"/>
  </mergeCells>
  <pageMargins left="0.7" right="0.7" top="0.75" bottom="0.75" header="0.3" footer="0.3"/>
  <pageSetup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6"/>
  <sheetViews>
    <sheetView view="pageBreakPreview" zoomScaleNormal="100" zoomScaleSheetLayoutView="100" workbookViewId="0">
      <selection activeCell="H28" sqref="H28"/>
    </sheetView>
  </sheetViews>
  <sheetFormatPr defaultRowHeight="15"/>
  <cols>
    <col min="1" max="1" width="1.7109375" style="372" customWidth="1"/>
    <col min="2" max="2" width="9.140625" style="372"/>
    <col min="3" max="4" width="3.42578125" style="372" customWidth="1"/>
    <col min="5" max="7" width="9.140625" style="372"/>
    <col min="8" max="8" width="43.28515625" style="372" customWidth="1"/>
    <col min="9" max="9" width="8.42578125" style="372" customWidth="1"/>
    <col min="10" max="10" width="9.140625" style="372"/>
    <col min="11" max="13" width="3.42578125" style="372" customWidth="1"/>
    <col min="14" max="14" width="9.140625" style="372"/>
    <col min="15" max="15" width="1.7109375" style="372" customWidth="1"/>
    <col min="16" max="16384" width="9.140625" style="372"/>
  </cols>
  <sheetData>
    <row r="1" spans="1:16" ht="18.75">
      <c r="A1" s="227"/>
      <c r="B1" s="226" t="s">
        <v>196</v>
      </c>
      <c r="C1" s="227"/>
      <c r="D1" s="227"/>
      <c r="E1" s="227"/>
      <c r="F1" s="227"/>
      <c r="G1" s="227"/>
      <c r="H1" s="227"/>
      <c r="I1" s="227"/>
      <c r="J1" s="227"/>
      <c r="K1" s="227"/>
      <c r="L1" s="227"/>
      <c r="M1" s="227"/>
      <c r="N1" s="227"/>
      <c r="O1" s="227"/>
    </row>
    <row r="2" spans="1:16">
      <c r="A2" s="227"/>
      <c r="B2" s="90" t="s">
        <v>457</v>
      </c>
      <c r="C2" s="227"/>
      <c r="D2" s="227"/>
      <c r="E2" s="227"/>
      <c r="F2" s="227"/>
      <c r="G2" s="227"/>
      <c r="H2" s="227"/>
      <c r="I2" s="227"/>
      <c r="J2" s="227"/>
      <c r="K2" s="227"/>
      <c r="L2" s="227"/>
      <c r="M2" s="227"/>
      <c r="N2" s="227"/>
      <c r="O2" s="227"/>
    </row>
    <row r="3" spans="1:16">
      <c r="A3" s="227"/>
      <c r="B3" s="227"/>
      <c r="C3" s="407"/>
      <c r="D3" s="408"/>
      <c r="E3" s="408"/>
      <c r="F3" s="408"/>
      <c r="G3" s="408"/>
      <c r="H3" s="408"/>
      <c r="I3" s="408"/>
      <c r="J3" s="408"/>
      <c r="K3" s="408"/>
      <c r="L3" s="408"/>
      <c r="M3" s="408"/>
      <c r="N3" s="408"/>
      <c r="O3" s="227"/>
    </row>
    <row r="4" spans="1:16">
      <c r="A4" s="227"/>
      <c r="B4" s="100" t="s">
        <v>459</v>
      </c>
      <c r="C4" s="407"/>
      <c r="D4" s="408"/>
      <c r="E4" s="408"/>
      <c r="F4" s="408"/>
      <c r="G4" s="408"/>
      <c r="H4" s="408"/>
      <c r="I4" s="408"/>
      <c r="J4" s="408"/>
      <c r="K4" s="408"/>
      <c r="L4" s="227"/>
      <c r="M4" s="420"/>
      <c r="N4" s="420"/>
      <c r="O4" s="227"/>
    </row>
    <row r="5" spans="1:16" ht="15.75" thickBot="1">
      <c r="A5" s="227"/>
      <c r="B5" s="227"/>
      <c r="C5" s="227"/>
      <c r="D5" s="227"/>
      <c r="E5" s="409"/>
      <c r="F5" s="245"/>
      <c r="G5" s="245"/>
      <c r="H5" s="245"/>
      <c r="I5" s="245"/>
      <c r="J5" s="245"/>
      <c r="K5" s="245"/>
      <c r="L5" s="410"/>
      <c r="M5" s="245"/>
      <c r="N5" s="227"/>
      <c r="O5" s="227"/>
    </row>
    <row r="6" spans="1:16" ht="15.75" thickBot="1">
      <c r="A6" s="227"/>
      <c r="B6" s="227"/>
      <c r="C6" s="411"/>
      <c r="D6" s="412"/>
      <c r="E6" s="412"/>
      <c r="F6" s="412"/>
      <c r="G6" s="412"/>
      <c r="H6" s="412"/>
      <c r="I6" s="412"/>
      <c r="J6" s="412"/>
      <c r="K6" s="412"/>
      <c r="L6" s="413"/>
      <c r="M6" s="245"/>
      <c r="N6" s="227"/>
      <c r="O6" s="227"/>
    </row>
    <row r="7" spans="1:16" ht="15.75" thickBot="1">
      <c r="A7" s="227"/>
      <c r="B7" s="227"/>
      <c r="C7" s="244"/>
      <c r="D7" s="245"/>
      <c r="E7" s="414" t="s">
        <v>280</v>
      </c>
      <c r="F7" s="415"/>
      <c r="G7" s="415"/>
      <c r="H7" s="415"/>
      <c r="I7" s="415"/>
      <c r="J7" s="416"/>
      <c r="K7" s="245"/>
      <c r="L7" s="417"/>
      <c r="M7" s="245"/>
      <c r="N7" s="227"/>
      <c r="O7" s="227"/>
    </row>
    <row r="8" spans="1:16" ht="15.75">
      <c r="A8" s="227"/>
      <c r="B8" s="227"/>
      <c r="C8" s="244"/>
      <c r="D8" s="245"/>
      <c r="E8" s="432" t="s">
        <v>455</v>
      </c>
      <c r="F8" s="433"/>
      <c r="G8" s="433"/>
      <c r="H8" s="433"/>
      <c r="I8" s="418">
        <v>275</v>
      </c>
      <c r="J8" s="26" t="s">
        <v>281</v>
      </c>
      <c r="K8" s="245"/>
      <c r="L8" s="417"/>
      <c r="M8" s="245"/>
      <c r="N8" s="227"/>
      <c r="O8" s="227"/>
    </row>
    <row r="9" spans="1:16" ht="15.75">
      <c r="A9" s="227"/>
      <c r="B9" s="227"/>
      <c r="C9" s="244"/>
      <c r="D9" s="245"/>
      <c r="E9" s="718" t="s">
        <v>410</v>
      </c>
      <c r="F9" s="719"/>
      <c r="G9" s="719"/>
      <c r="H9" s="719"/>
      <c r="I9" s="241">
        <v>68</v>
      </c>
      <c r="J9" s="142" t="s">
        <v>462</v>
      </c>
      <c r="K9" s="245"/>
      <c r="L9" s="417"/>
      <c r="M9" s="245"/>
      <c r="N9" s="227"/>
      <c r="O9" s="227"/>
    </row>
    <row r="10" spans="1:16">
      <c r="A10" s="227"/>
      <c r="B10" s="227"/>
      <c r="C10" s="244"/>
      <c r="D10" s="245"/>
      <c r="E10" s="419" t="s">
        <v>282</v>
      </c>
      <c r="F10" s="420"/>
      <c r="G10" s="420"/>
      <c r="H10" s="420"/>
      <c r="I10" s="421">
        <v>34.083449999999999</v>
      </c>
      <c r="J10" s="27" t="s">
        <v>17</v>
      </c>
      <c r="K10" s="245"/>
      <c r="L10" s="417"/>
      <c r="M10" s="245"/>
      <c r="N10" s="227"/>
      <c r="O10" s="227"/>
      <c r="P10" s="1"/>
    </row>
    <row r="11" spans="1:16">
      <c r="A11" s="227"/>
      <c r="B11" s="227"/>
      <c r="C11" s="244"/>
      <c r="D11" s="245"/>
      <c r="E11" s="422" t="s">
        <v>283</v>
      </c>
      <c r="F11" s="420"/>
      <c r="G11" s="420"/>
      <c r="H11" s="420"/>
      <c r="I11" s="421">
        <v>8760</v>
      </c>
      <c r="J11" s="27" t="s">
        <v>284</v>
      </c>
      <c r="K11" s="245"/>
      <c r="L11" s="417"/>
      <c r="M11" s="245"/>
      <c r="N11" s="227"/>
      <c r="O11" s="227"/>
    </row>
    <row r="12" spans="1:16" ht="15.75">
      <c r="A12" s="227"/>
      <c r="B12" s="227"/>
      <c r="C12" s="244"/>
      <c r="D12" s="245"/>
      <c r="E12" s="422" t="s">
        <v>461</v>
      </c>
      <c r="F12" s="420"/>
      <c r="G12" s="420"/>
      <c r="H12" s="420"/>
      <c r="I12" s="421">
        <v>95</v>
      </c>
      <c r="J12" s="27" t="s">
        <v>135</v>
      </c>
      <c r="K12" s="245"/>
      <c r="L12" s="417"/>
      <c r="M12" s="245"/>
      <c r="N12" s="227"/>
      <c r="O12" s="227"/>
    </row>
    <row r="13" spans="1:16">
      <c r="A13" s="227"/>
      <c r="B13" s="227"/>
      <c r="C13" s="244"/>
      <c r="D13" s="245"/>
      <c r="E13" s="596"/>
      <c r="F13" s="434"/>
      <c r="G13" s="434"/>
      <c r="H13" s="434"/>
      <c r="I13" s="597"/>
      <c r="J13" s="49"/>
      <c r="K13" s="245"/>
      <c r="L13" s="417"/>
      <c r="M13" s="245"/>
      <c r="N13" s="227"/>
      <c r="O13" s="227"/>
    </row>
    <row r="14" spans="1:16" ht="16.5" thickBot="1">
      <c r="A14" s="227"/>
      <c r="B14" s="227"/>
      <c r="C14" s="244"/>
      <c r="D14" s="245"/>
      <c r="E14" s="598" t="s">
        <v>463</v>
      </c>
      <c r="F14" s="245"/>
      <c r="G14" s="245"/>
      <c r="H14" s="427"/>
      <c r="I14" s="440"/>
      <c r="J14" s="441"/>
      <c r="K14" s="245"/>
      <c r="L14" s="417"/>
      <c r="M14" s="245"/>
      <c r="N14" s="227"/>
      <c r="O14" s="227"/>
    </row>
    <row r="15" spans="1:16">
      <c r="A15" s="227"/>
      <c r="B15" s="227"/>
      <c r="C15" s="244"/>
      <c r="D15" s="245"/>
      <c r="E15" s="419" t="s">
        <v>456</v>
      </c>
      <c r="F15" s="412"/>
      <c r="G15" s="412"/>
      <c r="H15" s="245"/>
      <c r="I15" s="423">
        <v>3700</v>
      </c>
      <c r="J15" s="25" t="s">
        <v>10</v>
      </c>
      <c r="K15" s="245"/>
      <c r="L15" s="417"/>
      <c r="M15" s="245"/>
      <c r="N15" s="227"/>
      <c r="O15" s="227"/>
    </row>
    <row r="16" spans="1:16">
      <c r="A16" s="227"/>
      <c r="B16" s="227"/>
      <c r="C16" s="244"/>
      <c r="D16" s="245"/>
      <c r="E16" s="431" t="s">
        <v>469</v>
      </c>
      <c r="F16" s="436"/>
      <c r="G16" s="436"/>
      <c r="H16" s="436"/>
      <c r="I16" s="437"/>
      <c r="J16" s="438"/>
      <c r="K16" s="245"/>
      <c r="L16" s="417"/>
      <c r="M16" s="245"/>
      <c r="N16" s="227"/>
      <c r="O16" s="227"/>
    </row>
    <row r="17" spans="1:16" ht="15.75" thickBot="1">
      <c r="A17" s="227"/>
      <c r="B17" s="227"/>
      <c r="C17" s="244"/>
      <c r="D17" s="245"/>
      <c r="E17" s="419" t="s">
        <v>456</v>
      </c>
      <c r="F17" s="245"/>
      <c r="G17" s="245"/>
      <c r="H17" s="410"/>
      <c r="I17" s="539">
        <f>(((I8*$I$10)/(10^6*0.7302*($I$9+459.67))*$I15*60*8760)/2000)*((100-$I$12)/100)</f>
        <v>1.1826850292371514</v>
      </c>
      <c r="J17" s="25" t="s">
        <v>26</v>
      </c>
      <c r="K17" s="245"/>
      <c r="L17" s="417"/>
      <c r="M17" s="245"/>
      <c r="N17" s="227"/>
      <c r="O17" s="227"/>
      <c r="P17" s="424"/>
    </row>
    <row r="18" spans="1:16" ht="15.75" thickBot="1">
      <c r="A18" s="227"/>
      <c r="B18" s="227"/>
      <c r="C18" s="426"/>
      <c r="D18" s="427"/>
      <c r="E18" s="575"/>
      <c r="F18" s="575"/>
      <c r="G18" s="575"/>
      <c r="H18" s="427"/>
      <c r="I18" s="575"/>
      <c r="J18" s="575"/>
      <c r="K18" s="427"/>
      <c r="L18" s="430"/>
      <c r="M18" s="245"/>
      <c r="N18" s="227"/>
      <c r="O18" s="227"/>
    </row>
    <row r="19" spans="1:16">
      <c r="A19" s="227"/>
      <c r="B19" s="227"/>
      <c r="C19" s="227"/>
      <c r="D19" s="227"/>
      <c r="E19" s="227"/>
      <c r="F19" s="227"/>
      <c r="G19" s="227"/>
      <c r="H19" s="227"/>
      <c r="I19" s="227"/>
      <c r="J19" s="227"/>
      <c r="K19" s="227"/>
      <c r="L19" s="227"/>
      <c r="M19" s="227"/>
      <c r="N19" s="227"/>
      <c r="O19" s="227"/>
    </row>
    <row r="20" spans="1:16">
      <c r="A20" s="227"/>
      <c r="B20" s="227"/>
      <c r="C20" s="227"/>
      <c r="D20" s="408"/>
      <c r="E20" s="407" t="s">
        <v>286</v>
      </c>
      <c r="F20" s="408"/>
      <c r="G20" s="408"/>
      <c r="H20" s="408"/>
      <c r="I20" s="408"/>
      <c r="J20" s="408"/>
      <c r="K20" s="408"/>
      <c r="L20" s="408"/>
      <c r="M20" s="245"/>
      <c r="N20" s="227"/>
      <c r="O20" s="227"/>
    </row>
    <row r="21" spans="1:16">
      <c r="A21" s="227"/>
      <c r="B21" s="227"/>
      <c r="C21" s="227"/>
      <c r="D21" s="245"/>
      <c r="E21" s="514" t="s">
        <v>460</v>
      </c>
      <c r="F21" s="245"/>
      <c r="G21" s="245"/>
      <c r="H21" s="245"/>
      <c r="I21" s="245"/>
      <c r="J21" s="245"/>
      <c r="K21" s="245"/>
      <c r="L21" s="245"/>
      <c r="M21" s="245"/>
      <c r="N21" s="227"/>
      <c r="O21" s="227"/>
    </row>
    <row r="22" spans="1:16">
      <c r="A22" s="227"/>
      <c r="B22" s="227"/>
      <c r="C22" s="227"/>
      <c r="D22" s="227"/>
      <c r="E22" s="240" t="s">
        <v>438</v>
      </c>
      <c r="F22" s="227"/>
      <c r="G22" s="227"/>
      <c r="H22" s="227"/>
      <c r="I22" s="227"/>
      <c r="J22" s="227"/>
      <c r="K22" s="227"/>
      <c r="L22" s="227"/>
      <c r="M22" s="227"/>
      <c r="N22" s="227"/>
      <c r="O22" s="227"/>
    </row>
    <row r="23" spans="1:16">
      <c r="A23" s="227"/>
      <c r="B23" s="227"/>
      <c r="C23" s="227"/>
      <c r="D23" s="227"/>
      <c r="E23" s="240" t="s">
        <v>405</v>
      </c>
      <c r="F23" s="227"/>
      <c r="G23" s="227"/>
      <c r="H23" s="227"/>
      <c r="I23" s="227"/>
      <c r="J23" s="227"/>
      <c r="K23" s="227"/>
      <c r="L23" s="227"/>
      <c r="M23" s="227"/>
      <c r="N23" s="227"/>
      <c r="O23" s="227"/>
    </row>
    <row r="24" spans="1:16">
      <c r="A24" s="227"/>
      <c r="B24" s="227"/>
      <c r="C24" s="227"/>
      <c r="D24" s="227"/>
      <c r="E24" s="240" t="s">
        <v>408</v>
      </c>
      <c r="F24" s="227"/>
      <c r="G24" s="227"/>
      <c r="H24" s="227"/>
      <c r="I24" s="227"/>
      <c r="J24" s="227"/>
      <c r="K24" s="227"/>
      <c r="L24" s="227"/>
      <c r="M24" s="227"/>
      <c r="N24" s="227"/>
      <c r="O24" s="227"/>
    </row>
    <row r="25" spans="1:16">
      <c r="A25" s="227"/>
      <c r="B25" s="240"/>
      <c r="C25" s="240"/>
      <c r="D25" s="240"/>
      <c r="E25" s="240" t="s">
        <v>464</v>
      </c>
      <c r="F25" s="240"/>
      <c r="G25" s="240"/>
      <c r="H25" s="240"/>
      <c r="I25" s="240"/>
      <c r="J25" s="240"/>
      <c r="K25" s="240"/>
      <c r="L25" s="240"/>
      <c r="M25" s="240"/>
      <c r="N25" s="240"/>
      <c r="O25" s="240"/>
    </row>
    <row r="26" spans="1:16">
      <c r="A26" s="227"/>
      <c r="B26" s="227"/>
      <c r="C26" s="227"/>
      <c r="D26" s="227"/>
      <c r="E26" s="240"/>
      <c r="F26" s="227"/>
      <c r="G26" s="227"/>
      <c r="H26" s="227"/>
      <c r="I26" s="227"/>
      <c r="J26" s="227"/>
      <c r="K26" s="227"/>
      <c r="L26" s="227"/>
      <c r="M26" s="227"/>
      <c r="N26" s="227"/>
    </row>
  </sheetData>
  <mergeCells count="1">
    <mergeCell ref="E9:H9"/>
  </mergeCells>
  <pageMargins left="0.7" right="0.7" top="0.75" bottom="0.75" header="0.3" footer="0.3"/>
  <pageSetup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J67"/>
  <sheetViews>
    <sheetView showGridLines="0" view="pageBreakPreview" zoomScaleNormal="100" zoomScaleSheetLayoutView="100" workbookViewId="0">
      <selection activeCell="B2" sqref="B2"/>
    </sheetView>
  </sheetViews>
  <sheetFormatPr defaultColWidth="8.85546875" defaultRowHeight="12.75"/>
  <cols>
    <col min="1" max="1" width="1.7109375" style="247" customWidth="1"/>
    <col min="2" max="2" width="15.85546875" style="247" customWidth="1"/>
    <col min="3" max="3" width="10.7109375" style="247" customWidth="1"/>
    <col min="4" max="4" width="6.28515625" style="247" customWidth="1"/>
    <col min="5" max="9" width="10.7109375" style="247" customWidth="1"/>
    <col min="10" max="10" width="1.7109375" style="247" customWidth="1"/>
    <col min="11" max="16384" width="8.85546875" style="247"/>
  </cols>
  <sheetData>
    <row r="1" spans="2:10" s="89" customFormat="1" ht="18.75">
      <c r="B1" s="88" t="s">
        <v>196</v>
      </c>
      <c r="C1" s="88"/>
      <c r="D1" s="88"/>
    </row>
    <row r="2" spans="2:10" s="89" customFormat="1" ht="15">
      <c r="B2" s="90" t="s">
        <v>457</v>
      </c>
      <c r="C2" s="90"/>
      <c r="D2" s="90"/>
      <c r="E2" s="91"/>
      <c r="F2" s="91"/>
      <c r="G2" s="91"/>
      <c r="H2" s="91"/>
      <c r="I2" s="92"/>
    </row>
    <row r="3" spans="2:10" s="99" customFormat="1">
      <c r="B3" s="93"/>
      <c r="C3" s="94"/>
      <c r="D3" s="94"/>
      <c r="E3" s="94"/>
      <c r="F3" s="94"/>
      <c r="G3" s="94"/>
      <c r="H3" s="94"/>
      <c r="I3" s="94"/>
      <c r="J3" s="95"/>
    </row>
    <row r="4" spans="2:10" s="99" customFormat="1" ht="15" customHeight="1">
      <c r="B4" s="246" t="s">
        <v>423</v>
      </c>
      <c r="C4" s="101"/>
      <c r="D4" s="101"/>
      <c r="E4" s="101"/>
      <c r="F4" s="101"/>
      <c r="G4" s="101"/>
      <c r="H4" s="102"/>
      <c r="I4" s="102"/>
      <c r="J4" s="95"/>
    </row>
    <row r="5" spans="2:10" ht="15" customHeight="1">
      <c r="J5" s="248"/>
    </row>
    <row r="6" spans="2:10" ht="15" customHeight="1">
      <c r="B6" s="103" t="s">
        <v>80</v>
      </c>
      <c r="C6" s="104"/>
      <c r="D6" s="104"/>
      <c r="E6" s="104"/>
      <c r="F6" s="105"/>
      <c r="G6" s="106"/>
    </row>
    <row r="7" spans="2:10" ht="15" customHeight="1">
      <c r="B7" s="229" t="s">
        <v>81</v>
      </c>
      <c r="C7" s="225"/>
      <c r="D7" s="225"/>
      <c r="E7" s="302">
        <v>1</v>
      </c>
      <c r="F7" s="229"/>
      <c r="G7" s="303"/>
      <c r="H7" s="304"/>
      <c r="I7" s="304"/>
    </row>
    <row r="8" spans="2:10" ht="15" customHeight="1">
      <c r="B8" s="229" t="s">
        <v>82</v>
      </c>
      <c r="C8" s="225"/>
      <c r="D8" s="225"/>
      <c r="E8" s="305" t="s">
        <v>199</v>
      </c>
      <c r="F8" s="229"/>
      <c r="G8" s="303"/>
      <c r="H8" s="304"/>
      <c r="I8" s="304"/>
    </row>
    <row r="9" spans="2:10" ht="15" customHeight="1">
      <c r="B9" s="304" t="s">
        <v>200</v>
      </c>
      <c r="C9" s="304"/>
      <c r="D9" s="304"/>
      <c r="E9" s="306">
        <v>2347</v>
      </c>
      <c r="F9" s="304" t="s">
        <v>417</v>
      </c>
      <c r="G9" s="225"/>
      <c r="H9" s="304"/>
      <c r="I9" s="304"/>
    </row>
    <row r="10" spans="2:10" ht="15" customHeight="1">
      <c r="B10" s="304" t="s">
        <v>84</v>
      </c>
      <c r="C10" s="304"/>
      <c r="D10" s="304"/>
      <c r="E10" s="307">
        <f>E12*E11/10^6</f>
        <v>17.262</v>
      </c>
      <c r="F10" s="304" t="s">
        <v>201</v>
      </c>
      <c r="G10" s="304"/>
      <c r="H10" s="304"/>
      <c r="I10" s="304"/>
    </row>
    <row r="11" spans="2:10" ht="15" customHeight="1">
      <c r="B11" s="304" t="s">
        <v>86</v>
      </c>
      <c r="C11" s="304"/>
      <c r="D11" s="304"/>
      <c r="E11" s="306">
        <f>137000</f>
        <v>137000</v>
      </c>
      <c r="F11" s="304" t="s">
        <v>202</v>
      </c>
      <c r="G11" s="304"/>
      <c r="H11" s="304"/>
      <c r="I11" s="304"/>
    </row>
    <row r="12" spans="2:10" ht="15" customHeight="1">
      <c r="B12" s="304" t="s">
        <v>88</v>
      </c>
      <c r="C12" s="304"/>
      <c r="D12" s="304"/>
      <c r="E12" s="308">
        <v>126</v>
      </c>
      <c r="F12" s="304" t="s">
        <v>203</v>
      </c>
      <c r="G12" s="304"/>
      <c r="H12" s="304"/>
      <c r="I12" s="304"/>
    </row>
    <row r="13" spans="2:10" ht="15" customHeight="1">
      <c r="B13" s="304" t="s">
        <v>16</v>
      </c>
      <c r="C13" s="304"/>
      <c r="D13" s="304"/>
      <c r="E13" s="304">
        <v>100</v>
      </c>
      <c r="F13" s="304" t="s">
        <v>89</v>
      </c>
      <c r="G13" s="304"/>
      <c r="H13" s="304"/>
      <c r="I13" s="304"/>
    </row>
    <row r="14" spans="2:10" ht="15" customHeight="1">
      <c r="B14" s="304" t="s">
        <v>204</v>
      </c>
      <c r="C14" s="304"/>
      <c r="D14" s="304"/>
      <c r="E14" s="309">
        <v>7.05</v>
      </c>
      <c r="F14" s="304" t="s">
        <v>205</v>
      </c>
      <c r="G14" s="304"/>
      <c r="H14" s="304"/>
      <c r="I14" s="304"/>
    </row>
    <row r="15" spans="2:10" ht="15" customHeight="1">
      <c r="B15" s="304" t="s">
        <v>206</v>
      </c>
      <c r="C15" s="304"/>
      <c r="D15" s="304"/>
      <c r="E15" s="304">
        <v>1.5E-3</v>
      </c>
      <c r="F15" s="304" t="s">
        <v>207</v>
      </c>
      <c r="G15" s="304"/>
      <c r="H15" s="304"/>
      <c r="I15" s="304"/>
    </row>
    <row r="16" spans="2:10" ht="15" customHeight="1">
      <c r="B16" s="304"/>
      <c r="C16" s="304"/>
      <c r="D16" s="304"/>
      <c r="E16" s="304"/>
      <c r="F16" s="304"/>
      <c r="G16" s="304"/>
      <c r="H16" s="304"/>
      <c r="I16" s="304"/>
    </row>
    <row r="17" spans="2:10" ht="15" customHeight="1">
      <c r="B17" s="310" t="s">
        <v>208</v>
      </c>
      <c r="C17" s="310"/>
      <c r="D17" s="304"/>
      <c r="E17" s="306"/>
      <c r="F17" s="304"/>
      <c r="G17" s="311"/>
      <c r="H17" s="304"/>
      <c r="I17" s="304"/>
    </row>
    <row r="18" spans="2:10" ht="15" customHeight="1">
      <c r="B18" s="312" t="s">
        <v>93</v>
      </c>
      <c r="C18" s="313">
        <v>1</v>
      </c>
      <c r="D18" s="304"/>
      <c r="E18" s="306"/>
      <c r="F18" s="304"/>
      <c r="G18" s="311"/>
      <c r="H18" s="304"/>
      <c r="I18" s="304"/>
    </row>
    <row r="19" spans="2:10" ht="15" customHeight="1">
      <c r="B19" s="312" t="s">
        <v>94</v>
      </c>
      <c r="C19" s="313">
        <v>25</v>
      </c>
      <c r="D19" s="304"/>
      <c r="E19" s="306"/>
      <c r="F19" s="304"/>
      <c r="G19" s="311"/>
      <c r="H19" s="304"/>
      <c r="I19" s="304"/>
    </row>
    <row r="20" spans="2:10" ht="15" customHeight="1">
      <c r="B20" s="312" t="s">
        <v>95</v>
      </c>
      <c r="C20" s="313">
        <v>298</v>
      </c>
      <c r="D20" s="304"/>
      <c r="E20" s="306"/>
      <c r="F20" s="304"/>
      <c r="G20" s="311"/>
      <c r="H20" s="304"/>
      <c r="I20" s="304"/>
    </row>
    <row r="21" spans="2:10" ht="15" customHeight="1">
      <c r="E21" s="251"/>
    </row>
    <row r="22" spans="2:10" ht="15" customHeight="1" thickBot="1">
      <c r="B22" s="115"/>
    </row>
    <row r="23" spans="2:10" ht="15" customHeight="1">
      <c r="B23" s="252" t="s">
        <v>35</v>
      </c>
      <c r="C23" s="253" t="s">
        <v>96</v>
      </c>
      <c r="D23" s="254"/>
      <c r="E23" s="255"/>
      <c r="F23" s="256" t="s">
        <v>141</v>
      </c>
    </row>
    <row r="24" spans="2:10" ht="15" customHeight="1" thickBot="1">
      <c r="B24" s="257"/>
      <c r="C24" s="258" t="s">
        <v>209</v>
      </c>
      <c r="D24" s="259" t="s">
        <v>37</v>
      </c>
      <c r="E24" s="260" t="s">
        <v>38</v>
      </c>
      <c r="F24" s="261" t="s">
        <v>143</v>
      </c>
    </row>
    <row r="25" spans="2:10" ht="15" customHeight="1">
      <c r="B25" s="265" t="s">
        <v>6</v>
      </c>
      <c r="C25" s="266">
        <f>CONVERT(E25,"lbm","g")/E$9</f>
        <v>0.87355667337025988</v>
      </c>
      <c r="D25" s="267" t="s">
        <v>424</v>
      </c>
      <c r="E25" s="268">
        <v>4.5199999999999996</v>
      </c>
      <c r="F25" s="269">
        <f t="shared" ref="F25:F33" si="0">E25*E$13/2000*E$7</f>
        <v>0.22599999999999998</v>
      </c>
    </row>
    <row r="26" spans="2:10" ht="15" customHeight="1">
      <c r="B26" s="270" t="s">
        <v>97</v>
      </c>
      <c r="C26" s="271">
        <f>CONVERT(E26,"lbm","g")/E$9</f>
        <v>11.835533335662548</v>
      </c>
      <c r="D26" s="272" t="s">
        <v>424</v>
      </c>
      <c r="E26" s="273">
        <v>61.24</v>
      </c>
      <c r="F26" s="274">
        <f t="shared" si="0"/>
        <v>3.0619999999999998</v>
      </c>
    </row>
    <row r="27" spans="2:10" ht="15" customHeight="1">
      <c r="B27" s="275" t="s">
        <v>98</v>
      </c>
      <c r="C27" s="271">
        <f t="shared" ref="C27:C29" si="1">CONVERT(E27,"lbm","g")/E$9</f>
        <v>0.20099534077545803</v>
      </c>
      <c r="D27" s="272" t="s">
        <v>424</v>
      </c>
      <c r="E27" s="273">
        <v>1.04</v>
      </c>
      <c r="F27" s="276">
        <f t="shared" si="0"/>
        <v>5.1999999999999998E-2</v>
      </c>
      <c r="J27" s="249"/>
    </row>
    <row r="28" spans="2:10" ht="15" customHeight="1">
      <c r="B28" s="275" t="s">
        <v>99</v>
      </c>
      <c r="C28" s="271">
        <f t="shared" si="1"/>
        <v>0.20099534077545803</v>
      </c>
      <c r="D28" s="272" t="s">
        <v>210</v>
      </c>
      <c r="E28" s="273">
        <v>1.04</v>
      </c>
      <c r="F28" s="276">
        <f>E28*E$13/2000*E$7</f>
        <v>5.1999999999999998E-2</v>
      </c>
    </row>
    <row r="29" spans="2:10" ht="15" customHeight="1">
      <c r="B29" s="275" t="s">
        <v>100</v>
      </c>
      <c r="C29" s="271">
        <f t="shared" si="1"/>
        <v>0.20099534077545803</v>
      </c>
      <c r="D29" s="272" t="s">
        <v>210</v>
      </c>
      <c r="E29" s="273">
        <v>1.04</v>
      </c>
      <c r="F29" s="276">
        <f t="shared" si="0"/>
        <v>5.1999999999999998E-2</v>
      </c>
    </row>
    <row r="30" spans="2:10" ht="15" customHeight="1">
      <c r="B30" s="275" t="s">
        <v>101</v>
      </c>
      <c r="C30" s="277">
        <f>CONVERT(E30,"lbm","g")/E$9</f>
        <v>5.1503123426203659E-3</v>
      </c>
      <c r="D30" s="272" t="s">
        <v>180</v>
      </c>
      <c r="E30" s="278">
        <f>E12*E14*(E15/100)*((32+2*16)/32)</f>
        <v>2.6648999999999999E-2</v>
      </c>
      <c r="F30" s="279">
        <f t="shared" si="0"/>
        <v>1.33245E-3</v>
      </c>
    </row>
    <row r="31" spans="2:10" ht="15" customHeight="1">
      <c r="B31" s="275" t="s">
        <v>12</v>
      </c>
      <c r="C31" s="271">
        <f>CONVERT(E31,"lbm","g")/E$9</f>
        <v>0.24737888095440991</v>
      </c>
      <c r="D31" s="272" t="s">
        <v>424</v>
      </c>
      <c r="E31" s="273">
        <v>1.28</v>
      </c>
      <c r="F31" s="276">
        <f t="shared" si="0"/>
        <v>6.4000000000000001E-2</v>
      </c>
    </row>
    <row r="32" spans="2:10" ht="15" customHeight="1">
      <c r="B32" s="275" t="s">
        <v>52</v>
      </c>
      <c r="C32" s="280" t="s">
        <v>15</v>
      </c>
      <c r="D32" s="272"/>
      <c r="E32" s="281" t="s">
        <v>15</v>
      </c>
      <c r="F32" s="282" t="s">
        <v>15</v>
      </c>
    </row>
    <row r="33" spans="2:9" ht="15" customHeight="1">
      <c r="B33" s="275" t="s">
        <v>103</v>
      </c>
      <c r="C33" s="277">
        <f>CONVERT(E33,"lbm","g")/E$9</f>
        <v>7.8864157746374366E-3</v>
      </c>
      <c r="D33" s="272" t="s">
        <v>181</v>
      </c>
      <c r="E33" s="278">
        <f>E30*((2*1+32+4*16)/(32+2*16))</f>
        <v>4.080628125E-2</v>
      </c>
      <c r="F33" s="279">
        <f t="shared" si="0"/>
        <v>2.0403140624999996E-3</v>
      </c>
    </row>
    <row r="34" spans="2:9" ht="15" customHeight="1">
      <c r="B34" s="275" t="s">
        <v>211</v>
      </c>
      <c r="C34" s="280" t="s">
        <v>15</v>
      </c>
      <c r="D34" s="272"/>
      <c r="E34" s="281" t="s">
        <v>15</v>
      </c>
      <c r="F34" s="282" t="s">
        <v>15</v>
      </c>
    </row>
    <row r="35" spans="2:9" ht="15" customHeight="1">
      <c r="B35" s="275" t="s">
        <v>212</v>
      </c>
      <c r="C35" s="280" t="s">
        <v>15</v>
      </c>
      <c r="D35" s="272"/>
      <c r="E35" s="281" t="s">
        <v>15</v>
      </c>
      <c r="F35" s="282" t="s">
        <v>15</v>
      </c>
    </row>
    <row r="36" spans="2:9" ht="15" customHeight="1">
      <c r="B36" s="275" t="s">
        <v>213</v>
      </c>
      <c r="C36" s="283">
        <f>CONVERT(E36/E$9,"lbm","g")</f>
        <v>526.19592963587661</v>
      </c>
      <c r="D36" s="272" t="s">
        <v>102</v>
      </c>
      <c r="E36" s="284">
        <f>SUM(E37:E38)</f>
        <v>2722.6689171500007</v>
      </c>
      <c r="F36" s="285">
        <f>SUM(F37:F38)</f>
        <v>136.13344585750002</v>
      </c>
      <c r="I36" s="262"/>
    </row>
    <row r="37" spans="2:9" s="263" customFormat="1">
      <c r="B37" s="286" t="s">
        <v>106</v>
      </c>
      <c r="C37" s="287">
        <f>CONVERT(1.16,"lbm","g")</f>
        <v>526.16714920000004</v>
      </c>
      <c r="D37" s="272" t="s">
        <v>183</v>
      </c>
      <c r="E37" s="288">
        <f>CONVERT(C37,"g","lbm")*E$9</f>
        <v>2722.5200000000004</v>
      </c>
      <c r="F37" s="289">
        <f>E37*E$13/2000*E$7</f>
        <v>136.12600000000003</v>
      </c>
      <c r="I37" s="264"/>
    </row>
    <row r="38" spans="2:9" s="263" customFormat="1">
      <c r="B38" s="286" t="s">
        <v>107</v>
      </c>
      <c r="C38" s="287">
        <f>CONVERT(0.000705*(9/100),"lbm","g")</f>
        <v>2.8780435876500001E-2</v>
      </c>
      <c r="D38" s="272" t="s">
        <v>183</v>
      </c>
      <c r="E38" s="290">
        <f>CONVERT(C38,"g","lbm")*E$9</f>
        <v>0.14891715</v>
      </c>
      <c r="F38" s="289">
        <f>E38*E$13/2000*E$7</f>
        <v>7.4458574999999999E-3</v>
      </c>
    </row>
    <row r="39" spans="2:9" s="263" customFormat="1">
      <c r="B39" s="286" t="s">
        <v>108</v>
      </c>
      <c r="C39" s="291" t="s">
        <v>15</v>
      </c>
      <c r="D39" s="272"/>
      <c r="E39" s="292" t="s">
        <v>15</v>
      </c>
      <c r="F39" s="293" t="s">
        <v>15</v>
      </c>
    </row>
    <row r="40" spans="2:9" ht="15" customHeight="1">
      <c r="B40" s="275" t="s">
        <v>109</v>
      </c>
      <c r="C40" s="283">
        <f>CONVERT(E40/E$9,"lbm","g")</f>
        <v>526.88666009691269</v>
      </c>
      <c r="D40" s="272" t="s">
        <v>102</v>
      </c>
      <c r="E40" s="284">
        <f>SUM(E41:E42)</f>
        <v>2726.2429287500004</v>
      </c>
      <c r="F40" s="285">
        <f>SUM(F41:F42)</f>
        <v>136.31214643750005</v>
      </c>
    </row>
    <row r="41" spans="2:9" s="263" customFormat="1">
      <c r="B41" s="286" t="s">
        <v>106</v>
      </c>
      <c r="C41" s="294">
        <f>CONVERT(E41/E$9,"lbm","g")</f>
        <v>526.16714920000004</v>
      </c>
      <c r="D41" s="272" t="s">
        <v>214</v>
      </c>
      <c r="E41" s="295">
        <f>E37*C18</f>
        <v>2722.5200000000004</v>
      </c>
      <c r="F41" s="289">
        <f>E41*E$13/2000*E$7</f>
        <v>136.12600000000003</v>
      </c>
    </row>
    <row r="42" spans="2:9" s="263" customFormat="1">
      <c r="B42" s="286" t="s">
        <v>107</v>
      </c>
      <c r="C42" s="294">
        <f>CONVERT(E42/E$9,"lbm","g")</f>
        <v>0.71951089691250003</v>
      </c>
      <c r="D42" s="272" t="s">
        <v>214</v>
      </c>
      <c r="E42" s="296">
        <f>E38*C19</f>
        <v>3.7229287499999999</v>
      </c>
      <c r="F42" s="289">
        <f>E42*E$13/2000*E$7</f>
        <v>0.18614643749999998</v>
      </c>
    </row>
    <row r="43" spans="2:9" s="263" customFormat="1" ht="13.5" thickBot="1">
      <c r="B43" s="297" t="s">
        <v>108</v>
      </c>
      <c r="C43" s="298" t="s">
        <v>15</v>
      </c>
      <c r="D43" s="299"/>
      <c r="E43" s="300" t="s">
        <v>15</v>
      </c>
      <c r="F43" s="301" t="s">
        <v>15</v>
      </c>
    </row>
    <row r="44" spans="2:9" ht="15" customHeight="1"/>
    <row r="45" spans="2:9" ht="15" customHeight="1">
      <c r="B45" s="106"/>
      <c r="C45" s="250"/>
      <c r="D45" s="250"/>
      <c r="E45" s="250"/>
      <c r="F45" s="250"/>
      <c r="G45" s="250"/>
      <c r="H45" s="250"/>
      <c r="I45" s="250"/>
    </row>
    <row r="46" spans="2:9" ht="15" customHeight="1">
      <c r="B46" s="205" t="s">
        <v>110</v>
      </c>
    </row>
    <row r="47" spans="2:9" ht="15" customHeight="1">
      <c r="B47" s="247" t="s">
        <v>419</v>
      </c>
    </row>
    <row r="48" spans="2:9" ht="15" customHeight="1">
      <c r="B48" s="247" t="s">
        <v>421</v>
      </c>
    </row>
    <row r="49" spans="2:3" ht="15" customHeight="1">
      <c r="B49" s="247" t="s">
        <v>420</v>
      </c>
    </row>
    <row r="50" spans="2:3" ht="15" customHeight="1">
      <c r="B50" s="247" t="s">
        <v>418</v>
      </c>
    </row>
    <row r="51" spans="2:3" ht="15" customHeight="1">
      <c r="B51" s="247" t="s">
        <v>422</v>
      </c>
    </row>
    <row r="52" spans="2:3" ht="15" customHeight="1">
      <c r="B52" s="89" t="s">
        <v>216</v>
      </c>
    </row>
    <row r="53" spans="2:3" ht="15" customHeight="1">
      <c r="B53" s="89" t="s">
        <v>113</v>
      </c>
    </row>
    <row r="54" spans="2:3" ht="15" customHeight="1">
      <c r="B54" s="247" t="s">
        <v>217</v>
      </c>
    </row>
    <row r="55" spans="2:3" ht="15" customHeight="1">
      <c r="B55" s="137" t="s">
        <v>218</v>
      </c>
    </row>
    <row r="56" spans="2:3" ht="15" customHeight="1">
      <c r="B56" s="206" t="s">
        <v>219</v>
      </c>
    </row>
    <row r="57" spans="2:3" ht="15" customHeight="1">
      <c r="B57" s="206" t="s">
        <v>220</v>
      </c>
    </row>
    <row r="58" spans="2:3" ht="15" customHeight="1">
      <c r="B58" s="206" t="s">
        <v>221</v>
      </c>
    </row>
    <row r="59" spans="2:3" ht="15" customHeight="1">
      <c r="B59" s="247" t="s">
        <v>222</v>
      </c>
    </row>
    <row r="60" spans="2:3" ht="15" customHeight="1">
      <c r="B60" s="206" t="s">
        <v>425</v>
      </c>
    </row>
    <row r="61" spans="2:3" ht="15" customHeight="1">
      <c r="B61" s="89"/>
    </row>
    <row r="62" spans="2:3" ht="15" customHeight="1">
      <c r="B62" s="138" t="s">
        <v>123</v>
      </c>
    </row>
    <row r="63" spans="2:3" ht="15" customHeight="1">
      <c r="B63" s="139" t="s">
        <v>223</v>
      </c>
      <c r="C63" s="139"/>
    </row>
    <row r="64" spans="2:3" ht="15" customHeight="1">
      <c r="B64" s="139" t="s">
        <v>224</v>
      </c>
      <c r="C64" s="139"/>
    </row>
    <row r="65" spans="2:3" ht="15" customHeight="1">
      <c r="B65" s="140" t="s">
        <v>126</v>
      </c>
      <c r="C65" s="141" t="s">
        <v>225</v>
      </c>
    </row>
    <row r="66" spans="2:3" ht="15" customHeight="1">
      <c r="B66" s="140"/>
      <c r="C66" s="141" t="s">
        <v>226</v>
      </c>
    </row>
    <row r="67" spans="2:3" ht="15" customHeight="1">
      <c r="B67" s="139" t="s">
        <v>227</v>
      </c>
      <c r="C67" s="141"/>
    </row>
  </sheetData>
  <pageMargins left="0.75" right="0.75" top="1" bottom="1" header="0.5" footer="0.5"/>
  <pageSetup paperSize="3" orientation="portrait" r:id="rId1"/>
  <headerFooter alignWithMargins="0"/>
  <rowBreaks count="1" manualBreakCount="1">
    <brk id="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J73"/>
  <sheetViews>
    <sheetView showGridLines="0" view="pageBreakPreview" zoomScaleNormal="100" zoomScaleSheetLayoutView="100" workbookViewId="0">
      <selection activeCell="B2" sqref="B2"/>
    </sheetView>
  </sheetViews>
  <sheetFormatPr defaultColWidth="8.85546875" defaultRowHeight="12.75"/>
  <cols>
    <col min="1" max="1" width="1.7109375" style="247" customWidth="1"/>
    <col min="2" max="2" width="15.85546875" style="247" customWidth="1"/>
    <col min="3" max="3" width="12.7109375" style="247" customWidth="1"/>
    <col min="4" max="4" width="6.28515625" style="247" customWidth="1"/>
    <col min="5" max="9" width="10.7109375" style="247" customWidth="1"/>
    <col min="10" max="10" width="1.7109375" style="247" customWidth="1"/>
    <col min="11" max="16384" width="8.85546875" style="247"/>
  </cols>
  <sheetData>
    <row r="1" spans="2:10" s="89" customFormat="1" ht="18.75">
      <c r="B1" s="88" t="s">
        <v>196</v>
      </c>
      <c r="C1" s="88"/>
      <c r="D1" s="88"/>
    </row>
    <row r="2" spans="2:10" s="89" customFormat="1" ht="15">
      <c r="B2" s="90" t="s">
        <v>457</v>
      </c>
      <c r="C2" s="90"/>
      <c r="D2" s="90"/>
      <c r="E2" s="91"/>
      <c r="F2" s="91"/>
      <c r="G2" s="91"/>
      <c r="H2" s="91"/>
      <c r="I2" s="92"/>
    </row>
    <row r="3" spans="2:10" s="99" customFormat="1">
      <c r="B3" s="93"/>
      <c r="C3" s="94"/>
      <c r="D3" s="94"/>
      <c r="E3" s="94"/>
      <c r="F3" s="94"/>
      <c r="G3" s="94"/>
      <c r="H3" s="94"/>
      <c r="I3" s="94"/>
      <c r="J3" s="95"/>
    </row>
    <row r="4" spans="2:10" s="99" customFormat="1" ht="15" customHeight="1">
      <c r="B4" s="246" t="s">
        <v>427</v>
      </c>
      <c r="C4" s="101"/>
      <c r="D4" s="101"/>
      <c r="E4" s="101"/>
      <c r="F4" s="101"/>
      <c r="G4" s="101"/>
      <c r="H4" s="102"/>
      <c r="I4" s="102"/>
      <c r="J4" s="95"/>
    </row>
    <row r="5" spans="2:10" ht="15" customHeight="1">
      <c r="J5" s="248"/>
    </row>
    <row r="6" spans="2:10" ht="15" customHeight="1">
      <c r="B6" s="103" t="s">
        <v>80</v>
      </c>
      <c r="C6" s="104"/>
      <c r="D6" s="104"/>
      <c r="E6" s="104"/>
      <c r="F6" s="105"/>
      <c r="G6" s="106"/>
    </row>
    <row r="7" spans="2:10" ht="15" customHeight="1">
      <c r="B7" s="107" t="s">
        <v>81</v>
      </c>
      <c r="C7" s="89"/>
      <c r="D7" s="89"/>
      <c r="E7" s="108">
        <v>1</v>
      </c>
      <c r="F7" s="107"/>
      <c r="G7" s="109"/>
    </row>
    <row r="8" spans="2:10" ht="15" customHeight="1">
      <c r="B8" s="107" t="s">
        <v>82</v>
      </c>
      <c r="C8" s="89"/>
      <c r="D8" s="89"/>
      <c r="E8" s="110" t="s">
        <v>199</v>
      </c>
      <c r="F8" s="107"/>
      <c r="G8" s="109"/>
    </row>
    <row r="9" spans="2:10" ht="15" customHeight="1">
      <c r="B9" s="247" t="s">
        <v>200</v>
      </c>
      <c r="E9" s="306">
        <v>2347</v>
      </c>
      <c r="F9" s="247" t="s">
        <v>426</v>
      </c>
      <c r="G9" s="89"/>
    </row>
    <row r="10" spans="2:10" ht="15" customHeight="1">
      <c r="B10" s="247" t="s">
        <v>84</v>
      </c>
      <c r="E10" s="442">
        <f>E12*E11/10^6</f>
        <v>17.262</v>
      </c>
      <c r="F10" s="247" t="s">
        <v>201</v>
      </c>
    </row>
    <row r="11" spans="2:10" ht="15" customHeight="1">
      <c r="B11" s="247" t="s">
        <v>86</v>
      </c>
      <c r="E11" s="306">
        <v>137000</v>
      </c>
      <c r="F11" s="247" t="s">
        <v>202</v>
      </c>
    </row>
    <row r="12" spans="2:10" ht="15" customHeight="1">
      <c r="B12" s="247" t="s">
        <v>88</v>
      </c>
      <c r="E12" s="308">
        <v>126</v>
      </c>
      <c r="F12" s="247" t="s">
        <v>203</v>
      </c>
    </row>
    <row r="13" spans="2:10" ht="15" customHeight="1">
      <c r="B13" s="247" t="s">
        <v>16</v>
      </c>
      <c r="E13" s="247">
        <v>100</v>
      </c>
      <c r="F13" s="247" t="s">
        <v>89</v>
      </c>
    </row>
    <row r="14" spans="2:10" ht="15" customHeight="1">
      <c r="B14" s="247" t="s">
        <v>204</v>
      </c>
      <c r="E14" s="249">
        <v>7.05</v>
      </c>
      <c r="F14" s="247" t="s">
        <v>205</v>
      </c>
    </row>
    <row r="15" spans="2:10" ht="15" customHeight="1"/>
    <row r="16" spans="2:10" ht="15" customHeight="1">
      <c r="B16" s="248"/>
      <c r="C16" s="248"/>
      <c r="E16" s="251"/>
      <c r="G16" s="314"/>
    </row>
    <row r="17" spans="2:7" ht="15" customHeight="1" thickBot="1">
      <c r="B17" s="115"/>
      <c r="G17" s="314"/>
    </row>
    <row r="18" spans="2:7" ht="15" customHeight="1">
      <c r="B18" s="252" t="s">
        <v>35</v>
      </c>
      <c r="C18" s="315" t="s">
        <v>228</v>
      </c>
      <c r="D18" s="316"/>
      <c r="E18" s="316"/>
      <c r="F18" s="317"/>
      <c r="G18" s="314"/>
    </row>
    <row r="19" spans="2:7" ht="15" customHeight="1">
      <c r="B19" s="257"/>
      <c r="C19" s="318" t="s">
        <v>229</v>
      </c>
      <c r="D19" s="316"/>
      <c r="E19" s="316"/>
      <c r="F19" s="317"/>
      <c r="G19" s="314"/>
    </row>
    <row r="20" spans="2:7" ht="15" customHeight="1">
      <c r="B20" s="319" t="s">
        <v>182</v>
      </c>
      <c r="C20" s="320">
        <v>8.4999999999999999E-6</v>
      </c>
      <c r="E20" s="251"/>
      <c r="G20" s="314"/>
    </row>
    <row r="21" spans="2:7" ht="15" customHeight="1">
      <c r="B21" s="319" t="s">
        <v>184</v>
      </c>
      <c r="C21" s="320">
        <v>5.0000000000000004E-6</v>
      </c>
      <c r="E21" s="251"/>
      <c r="G21" s="314"/>
    </row>
    <row r="22" spans="2:7" ht="15" customHeight="1">
      <c r="B22" s="319" t="s">
        <v>185</v>
      </c>
      <c r="C22" s="320">
        <v>2.0999999999999999E-5</v>
      </c>
      <c r="E22" s="251"/>
      <c r="G22" s="314"/>
    </row>
    <row r="23" spans="2:7" ht="15" customHeight="1">
      <c r="B23" s="319" t="s">
        <v>186</v>
      </c>
      <c r="C23" s="320">
        <v>9.5000000000000005E-5</v>
      </c>
      <c r="E23" s="251"/>
      <c r="G23" s="314"/>
    </row>
    <row r="24" spans="2:7" ht="15" customHeight="1">
      <c r="B24" s="319" t="s">
        <v>188</v>
      </c>
      <c r="C24" s="320">
        <v>2.0999999999999999E-5</v>
      </c>
      <c r="E24" s="251"/>
      <c r="G24" s="314"/>
    </row>
    <row r="25" spans="2:7" ht="15" customHeight="1">
      <c r="B25" s="319" t="s">
        <v>189</v>
      </c>
      <c r="C25" s="320">
        <v>4.0000000000000003E-5</v>
      </c>
      <c r="E25" s="251"/>
      <c r="G25" s="314"/>
    </row>
    <row r="26" spans="2:7" ht="15" customHeight="1" thickBot="1">
      <c r="B26" s="321" t="s">
        <v>190</v>
      </c>
      <c r="C26" s="322">
        <v>3.3799999999999998E-4</v>
      </c>
      <c r="E26" s="251"/>
      <c r="G26" s="314"/>
    </row>
    <row r="27" spans="2:7" ht="15" customHeight="1">
      <c r="B27" s="248"/>
      <c r="C27" s="323"/>
      <c r="E27" s="251"/>
      <c r="G27" s="314"/>
    </row>
    <row r="28" spans="2:7" ht="15" customHeight="1">
      <c r="E28" s="251"/>
    </row>
    <row r="29" spans="2:7" ht="15" customHeight="1" thickBot="1">
      <c r="B29" s="115"/>
    </row>
    <row r="30" spans="2:7" ht="15" customHeight="1">
      <c r="B30" s="252" t="s">
        <v>35</v>
      </c>
      <c r="C30" s="253" t="s">
        <v>96</v>
      </c>
      <c r="D30" s="254"/>
      <c r="E30" s="255"/>
      <c r="F30" s="256" t="s">
        <v>141</v>
      </c>
    </row>
    <row r="31" spans="2:7" ht="15" customHeight="1" thickBot="1">
      <c r="B31" s="257"/>
      <c r="C31" s="324" t="s">
        <v>230</v>
      </c>
      <c r="D31" s="325" t="s">
        <v>37</v>
      </c>
      <c r="E31" s="326" t="s">
        <v>38</v>
      </c>
      <c r="F31" s="261" t="s">
        <v>143</v>
      </c>
    </row>
    <row r="32" spans="2:7" ht="15" customHeight="1">
      <c r="B32" s="327" t="s">
        <v>39</v>
      </c>
      <c r="C32" s="328">
        <v>7.76E-4</v>
      </c>
      <c r="D32" s="329" t="s">
        <v>214</v>
      </c>
      <c r="E32" s="330">
        <f>C32*E$10</f>
        <v>1.3395311999999999E-2</v>
      </c>
      <c r="F32" s="331">
        <f t="shared" ref="F32:F46" si="0">E32*E$13/2000*E$7</f>
        <v>6.697656E-4</v>
      </c>
    </row>
    <row r="33" spans="2:10" ht="15" customHeight="1">
      <c r="B33" s="332" t="s">
        <v>51</v>
      </c>
      <c r="C33" s="333">
        <v>2.81E-4</v>
      </c>
      <c r="D33" s="329" t="s">
        <v>214</v>
      </c>
      <c r="E33" s="334">
        <f>C33*E$10</f>
        <v>4.8506219999999997E-3</v>
      </c>
      <c r="F33" s="331">
        <f t="shared" si="0"/>
        <v>2.4253109999999999E-4</v>
      </c>
    </row>
    <row r="34" spans="2:10" ht="15" customHeight="1">
      <c r="B34" s="319" t="s">
        <v>231</v>
      </c>
      <c r="C34" s="333">
        <v>1.93E-4</v>
      </c>
      <c r="D34" s="329" t="s">
        <v>214</v>
      </c>
      <c r="E34" s="334">
        <f t="shared" ref="E34:E46" si="1">C34*E$10</f>
        <v>3.3315660000000002E-3</v>
      </c>
      <c r="F34" s="331">
        <f t="shared" si="0"/>
        <v>1.6657830000000001E-4</v>
      </c>
      <c r="J34" s="249"/>
    </row>
    <row r="35" spans="2:10" ht="15" customHeight="1">
      <c r="B35" s="335" t="s">
        <v>40</v>
      </c>
      <c r="C35" s="333">
        <v>7.8899999999999993E-5</v>
      </c>
      <c r="D35" s="329" t="s">
        <v>214</v>
      </c>
      <c r="E35" s="334">
        <f t="shared" si="1"/>
        <v>1.3619717999999999E-3</v>
      </c>
      <c r="F35" s="331">
        <f t="shared" si="0"/>
        <v>6.8098589999999985E-5</v>
      </c>
    </row>
    <row r="36" spans="2:10" ht="15" customHeight="1">
      <c r="B36" s="319" t="s">
        <v>61</v>
      </c>
      <c r="C36" s="333">
        <v>2.5199999999999999E-5</v>
      </c>
      <c r="D36" s="329" t="s">
        <v>214</v>
      </c>
      <c r="E36" s="334">
        <f t="shared" si="1"/>
        <v>4.3500240000000001E-4</v>
      </c>
      <c r="F36" s="331">
        <f t="shared" si="0"/>
        <v>2.1750120000000002E-5</v>
      </c>
    </row>
    <row r="37" spans="2:10" ht="15" customHeight="1">
      <c r="B37" s="319" t="s">
        <v>62</v>
      </c>
      <c r="C37" s="333">
        <v>7.8800000000000008E-6</v>
      </c>
      <c r="D37" s="329" t="s">
        <v>214</v>
      </c>
      <c r="E37" s="334">
        <f t="shared" si="1"/>
        <v>1.3602456000000001E-4</v>
      </c>
      <c r="F37" s="331">
        <f t="shared" si="0"/>
        <v>6.8012280000000001E-6</v>
      </c>
    </row>
    <row r="38" spans="2:10" ht="15" customHeight="1">
      <c r="B38" s="319" t="s">
        <v>150</v>
      </c>
      <c r="C38" s="336">
        <v>1.2999999999999999E-4</v>
      </c>
      <c r="D38" s="337" t="s">
        <v>210</v>
      </c>
      <c r="E38" s="334">
        <f t="shared" si="1"/>
        <v>2.24406E-3</v>
      </c>
      <c r="F38" s="331">
        <f t="shared" si="0"/>
        <v>1.12203E-4</v>
      </c>
    </row>
    <row r="39" spans="2:10" ht="15" customHeight="1">
      <c r="B39" s="319" t="s">
        <v>232</v>
      </c>
      <c r="C39" s="336">
        <v>2.12E-4</v>
      </c>
      <c r="D39" s="337" t="s">
        <v>210</v>
      </c>
      <c r="E39" s="334">
        <f t="shared" si="1"/>
        <v>3.6595440000000003E-3</v>
      </c>
      <c r="F39" s="331">
        <f t="shared" si="0"/>
        <v>1.8297720000000001E-4</v>
      </c>
    </row>
    <row r="40" spans="2:10" ht="15" customHeight="1">
      <c r="B40" s="319" t="s">
        <v>182</v>
      </c>
      <c r="C40" s="336">
        <f t="shared" ref="C40:C46" si="2">(C20/100)/$E$11*$E$14*10^6</f>
        <v>4.3740875912408756E-6</v>
      </c>
      <c r="D40" s="337" t="s">
        <v>233</v>
      </c>
      <c r="E40" s="334">
        <f t="shared" si="1"/>
        <v>7.5505499999999997E-5</v>
      </c>
      <c r="F40" s="331">
        <f t="shared" si="0"/>
        <v>3.7752749999999996E-6</v>
      </c>
    </row>
    <row r="41" spans="2:10" ht="15" customHeight="1">
      <c r="B41" s="319" t="s">
        <v>184</v>
      </c>
      <c r="C41" s="336">
        <f t="shared" si="2"/>
        <v>2.5729927007299268E-6</v>
      </c>
      <c r="D41" s="337" t="s">
        <v>233</v>
      </c>
      <c r="E41" s="334">
        <f t="shared" si="1"/>
        <v>4.4415000000000001E-5</v>
      </c>
      <c r="F41" s="331">
        <f t="shared" si="0"/>
        <v>2.2207499999999999E-6</v>
      </c>
    </row>
    <row r="42" spans="2:10" ht="15" customHeight="1">
      <c r="B42" s="319" t="s">
        <v>185</v>
      </c>
      <c r="C42" s="336">
        <f t="shared" si="2"/>
        <v>1.0806569343065694E-5</v>
      </c>
      <c r="D42" s="337" t="s">
        <v>233</v>
      </c>
      <c r="E42" s="334">
        <f t="shared" si="1"/>
        <v>1.8654300000000001E-4</v>
      </c>
      <c r="F42" s="331">
        <f t="shared" si="0"/>
        <v>9.327150000000001E-6</v>
      </c>
    </row>
    <row r="43" spans="2:10" ht="15" customHeight="1">
      <c r="B43" s="319" t="s">
        <v>186</v>
      </c>
      <c r="C43" s="336">
        <f t="shared" si="2"/>
        <v>4.8886861313868615E-5</v>
      </c>
      <c r="D43" s="337" t="s">
        <v>233</v>
      </c>
      <c r="E43" s="334">
        <f t="shared" si="1"/>
        <v>8.4388500000000006E-4</v>
      </c>
      <c r="F43" s="331">
        <f t="shared" si="0"/>
        <v>4.219425E-5</v>
      </c>
    </row>
    <row r="44" spans="2:10" ht="15" customHeight="1">
      <c r="B44" s="319" t="s">
        <v>188</v>
      </c>
      <c r="C44" s="336">
        <f t="shared" si="2"/>
        <v>1.0806569343065694E-5</v>
      </c>
      <c r="D44" s="337" t="s">
        <v>233</v>
      </c>
      <c r="E44" s="334">
        <f t="shared" si="1"/>
        <v>1.8654300000000001E-4</v>
      </c>
      <c r="F44" s="331">
        <f t="shared" si="0"/>
        <v>9.327150000000001E-6</v>
      </c>
    </row>
    <row r="45" spans="2:10" ht="15" customHeight="1">
      <c r="B45" s="319" t="s">
        <v>189</v>
      </c>
      <c r="C45" s="336">
        <f t="shared" si="2"/>
        <v>2.0583941605839414E-5</v>
      </c>
      <c r="D45" s="337" t="s">
        <v>233</v>
      </c>
      <c r="E45" s="334">
        <f t="shared" si="1"/>
        <v>3.5532000000000001E-4</v>
      </c>
      <c r="F45" s="331">
        <f t="shared" si="0"/>
        <v>1.7765999999999999E-5</v>
      </c>
    </row>
    <row r="46" spans="2:10" ht="15" customHeight="1" thickBot="1">
      <c r="B46" s="338" t="s">
        <v>190</v>
      </c>
      <c r="C46" s="339">
        <f t="shared" si="2"/>
        <v>1.7393430656934304E-4</v>
      </c>
      <c r="D46" s="337" t="s">
        <v>233</v>
      </c>
      <c r="E46" s="340">
        <f t="shared" si="1"/>
        <v>3.0024539999999995E-3</v>
      </c>
      <c r="F46" s="341">
        <f t="shared" si="0"/>
        <v>1.5012269999999998E-4</v>
      </c>
    </row>
    <row r="47" spans="2:10" ht="15" customHeight="1" thickBot="1">
      <c r="B47" s="342"/>
      <c r="C47" s="343"/>
      <c r="D47" s="344"/>
      <c r="E47" s="345" t="s">
        <v>53</v>
      </c>
      <c r="F47" s="346">
        <f>SUM(F32:F46)</f>
        <v>1.705438413E-3</v>
      </c>
    </row>
    <row r="48" spans="2:10" ht="15" customHeight="1"/>
    <row r="49" spans="2:9" ht="15" customHeight="1">
      <c r="B49" s="106"/>
      <c r="C49" s="250"/>
      <c r="D49" s="250"/>
      <c r="E49" s="250"/>
      <c r="F49" s="250"/>
      <c r="G49" s="250"/>
      <c r="H49" s="250"/>
      <c r="I49" s="250"/>
    </row>
    <row r="50" spans="2:9" ht="15" customHeight="1">
      <c r="B50" s="205" t="s">
        <v>110</v>
      </c>
    </row>
    <row r="51" spans="2:9" ht="15" customHeight="1">
      <c r="B51" s="247" t="s">
        <v>419</v>
      </c>
    </row>
    <row r="52" spans="2:9" ht="15" customHeight="1">
      <c r="B52" s="247" t="s">
        <v>421</v>
      </c>
    </row>
    <row r="53" spans="2:9" ht="15" customHeight="1">
      <c r="B53" s="247" t="s">
        <v>420</v>
      </c>
    </row>
    <row r="54" spans="2:9" ht="15" customHeight="1">
      <c r="B54" s="247" t="s">
        <v>418</v>
      </c>
    </row>
    <row r="55" spans="2:9" ht="15" customHeight="1">
      <c r="B55" s="247" t="s">
        <v>234</v>
      </c>
    </row>
    <row r="56" spans="2:9" ht="15" customHeight="1">
      <c r="B56" s="137" t="s">
        <v>235</v>
      </c>
    </row>
    <row r="57" spans="2:9" ht="15" customHeight="1">
      <c r="B57" s="137" t="s">
        <v>236</v>
      </c>
    </row>
    <row r="58" spans="2:9" ht="15" customHeight="1">
      <c r="B58" s="247" t="s">
        <v>237</v>
      </c>
    </row>
    <row r="59" spans="2:9" ht="15" customHeight="1">
      <c r="B59" s="247" t="s">
        <v>238</v>
      </c>
    </row>
    <row r="60" spans="2:9" ht="15" customHeight="1">
      <c r="C60" s="139"/>
    </row>
    <row r="61" spans="2:9" ht="15" customHeight="1">
      <c r="B61" s="89"/>
      <c r="C61" s="139"/>
    </row>
    <row r="62" spans="2:9" ht="15" customHeight="1">
      <c r="B62" s="138" t="s">
        <v>123</v>
      </c>
      <c r="C62" s="141"/>
    </row>
    <row r="63" spans="2:9" ht="15" customHeight="1">
      <c r="B63" s="139" t="s">
        <v>223</v>
      </c>
      <c r="C63" s="141"/>
    </row>
    <row r="64" spans="2:9" ht="15" customHeight="1">
      <c r="B64" s="139" t="s">
        <v>224</v>
      </c>
      <c r="C64" s="141"/>
    </row>
    <row r="65" spans="2:3" ht="15" customHeight="1">
      <c r="B65" s="140" t="s">
        <v>126</v>
      </c>
      <c r="C65" s="247" t="s">
        <v>239</v>
      </c>
    </row>
    <row r="66" spans="2:3" ht="15" customHeight="1">
      <c r="B66" s="140"/>
      <c r="C66" s="247" t="s">
        <v>240</v>
      </c>
    </row>
    <row r="67" spans="2:3" ht="15" customHeight="1">
      <c r="B67" s="140" t="s">
        <v>129</v>
      </c>
      <c r="C67" s="247" t="s">
        <v>241</v>
      </c>
    </row>
    <row r="68" spans="2:3" ht="15" customHeight="1">
      <c r="B68" s="139" t="s">
        <v>242</v>
      </c>
    </row>
    <row r="69" spans="2:3" ht="15" customHeight="1">
      <c r="B69" s="139" t="s">
        <v>243</v>
      </c>
    </row>
    <row r="70" spans="2:3" ht="15" customHeight="1">
      <c r="B70" s="247" t="s">
        <v>244</v>
      </c>
    </row>
    <row r="71" spans="2:3">
      <c r="B71" s="139" t="s">
        <v>245</v>
      </c>
    </row>
    <row r="72" spans="2:3">
      <c r="B72" s="140" t="s">
        <v>126</v>
      </c>
      <c r="C72" s="247" t="s">
        <v>246</v>
      </c>
    </row>
    <row r="73" spans="2:3">
      <c r="C73" s="247" t="s">
        <v>247</v>
      </c>
    </row>
  </sheetData>
  <pageMargins left="0.75" right="0.75" top="1" bottom="1" header="0.5" footer="0.5"/>
  <pageSetup paperSize="3" orientation="portrait" r:id="rId1"/>
  <headerFooter alignWithMargins="0"/>
  <rowBreaks count="1" manualBreakCount="1">
    <brk id="48"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J64"/>
  <sheetViews>
    <sheetView showGridLines="0" view="pageBreakPreview" zoomScaleNormal="100" zoomScaleSheetLayoutView="100" workbookViewId="0">
      <selection activeCell="B2" sqref="B2"/>
    </sheetView>
  </sheetViews>
  <sheetFormatPr defaultColWidth="8.85546875" defaultRowHeight="12.75"/>
  <cols>
    <col min="1" max="1" width="1.7109375" style="247" customWidth="1"/>
    <col min="2" max="2" width="15.85546875" style="247" customWidth="1"/>
    <col min="3" max="3" width="10.7109375" style="247" customWidth="1"/>
    <col min="4" max="4" width="6.28515625" style="247" customWidth="1"/>
    <col min="5" max="9" width="10.7109375" style="247" customWidth="1"/>
    <col min="10" max="10" width="1.7109375" style="247" customWidth="1"/>
    <col min="11" max="16384" width="8.85546875" style="247"/>
  </cols>
  <sheetData>
    <row r="1" spans="2:10" s="89" customFormat="1" ht="18.75">
      <c r="B1" s="88" t="s">
        <v>196</v>
      </c>
      <c r="C1" s="88"/>
      <c r="D1" s="88"/>
    </row>
    <row r="2" spans="2:10" s="89" customFormat="1" ht="15">
      <c r="B2" s="90" t="s">
        <v>457</v>
      </c>
      <c r="C2" s="90"/>
      <c r="D2" s="90"/>
      <c r="E2" s="91"/>
      <c r="F2" s="91"/>
      <c r="G2" s="91"/>
      <c r="H2" s="91"/>
      <c r="I2" s="92"/>
    </row>
    <row r="3" spans="2:10" s="99" customFormat="1">
      <c r="B3" s="93"/>
      <c r="C3" s="94"/>
      <c r="D3" s="94"/>
      <c r="E3" s="94"/>
      <c r="F3" s="94"/>
      <c r="G3" s="94"/>
      <c r="H3" s="94"/>
      <c r="I3" s="94"/>
      <c r="J3" s="95"/>
    </row>
    <row r="4" spans="2:10" s="99" customFormat="1" ht="15" customHeight="1">
      <c r="B4" s="246" t="s">
        <v>442</v>
      </c>
      <c r="C4" s="101"/>
      <c r="D4" s="101"/>
      <c r="E4" s="101"/>
      <c r="F4" s="101"/>
      <c r="G4" s="101"/>
      <c r="H4" s="102"/>
      <c r="I4" s="102"/>
      <c r="J4" s="95"/>
    </row>
    <row r="5" spans="2:10" ht="15" customHeight="1">
      <c r="J5" s="248"/>
    </row>
    <row r="6" spans="2:10" ht="15" customHeight="1">
      <c r="B6" s="103" t="s">
        <v>80</v>
      </c>
      <c r="C6" s="104"/>
      <c r="D6" s="104"/>
      <c r="E6" s="104"/>
      <c r="F6" s="105"/>
      <c r="G6" s="106"/>
    </row>
    <row r="7" spans="2:10" ht="15" customHeight="1">
      <c r="B7" s="229" t="s">
        <v>81</v>
      </c>
      <c r="C7" s="225"/>
      <c r="D7" s="225"/>
      <c r="E7" s="302">
        <v>1</v>
      </c>
      <c r="F7" s="229"/>
      <c r="G7" s="303"/>
      <c r="H7" s="304"/>
      <c r="I7" s="304"/>
    </row>
    <row r="8" spans="2:10" ht="15" customHeight="1">
      <c r="B8" s="229" t="s">
        <v>82</v>
      </c>
      <c r="C8" s="225"/>
      <c r="D8" s="225"/>
      <c r="E8" s="305" t="s">
        <v>199</v>
      </c>
      <c r="F8" s="229"/>
      <c r="G8" s="303"/>
      <c r="H8" s="304"/>
      <c r="I8" s="304"/>
    </row>
    <row r="9" spans="2:10" ht="15" customHeight="1">
      <c r="B9" s="304" t="s">
        <v>200</v>
      </c>
      <c r="C9" s="304"/>
      <c r="D9" s="304"/>
      <c r="E9" s="306">
        <v>2682</v>
      </c>
      <c r="F9" s="304" t="s">
        <v>417</v>
      </c>
      <c r="G9" s="225"/>
      <c r="H9" s="304"/>
      <c r="I9" s="304"/>
    </row>
    <row r="10" spans="2:10" ht="15" customHeight="1">
      <c r="B10" s="304" t="s">
        <v>84</v>
      </c>
      <c r="C10" s="304"/>
      <c r="D10" s="304"/>
      <c r="E10" s="307">
        <f>E12*E11/10^6</f>
        <v>18.905999999999999</v>
      </c>
      <c r="F10" s="304" t="s">
        <v>201</v>
      </c>
      <c r="G10" s="304"/>
      <c r="H10" s="304"/>
      <c r="I10" s="304"/>
    </row>
    <row r="11" spans="2:10" ht="15" customHeight="1">
      <c r="B11" s="304" t="s">
        <v>86</v>
      </c>
      <c r="C11" s="304"/>
      <c r="D11" s="304"/>
      <c r="E11" s="306">
        <f>137000</f>
        <v>137000</v>
      </c>
      <c r="F11" s="304" t="s">
        <v>202</v>
      </c>
      <c r="G11" s="304"/>
      <c r="H11" s="304"/>
      <c r="I11" s="304"/>
    </row>
    <row r="12" spans="2:10" ht="15" customHeight="1">
      <c r="B12" s="304" t="s">
        <v>88</v>
      </c>
      <c r="C12" s="304"/>
      <c r="D12" s="304"/>
      <c r="E12" s="308">
        <v>138</v>
      </c>
      <c r="F12" s="304" t="s">
        <v>203</v>
      </c>
      <c r="G12" s="304"/>
      <c r="H12" s="304"/>
      <c r="I12" s="304"/>
    </row>
    <row r="13" spans="2:10" ht="15" customHeight="1">
      <c r="B13" s="304" t="s">
        <v>16</v>
      </c>
      <c r="C13" s="304"/>
      <c r="D13" s="304"/>
      <c r="E13" s="304">
        <v>100</v>
      </c>
      <c r="F13" s="304" t="s">
        <v>89</v>
      </c>
      <c r="G13" s="304"/>
      <c r="H13" s="304"/>
      <c r="I13" s="304"/>
    </row>
    <row r="14" spans="2:10" ht="15" customHeight="1">
      <c r="B14" s="304" t="s">
        <v>204</v>
      </c>
      <c r="C14" s="304"/>
      <c r="D14" s="304"/>
      <c r="E14" s="309">
        <v>7.05</v>
      </c>
      <c r="F14" s="304" t="s">
        <v>205</v>
      </c>
      <c r="G14" s="304"/>
      <c r="H14" s="304"/>
      <c r="I14" s="304"/>
    </row>
    <row r="15" spans="2:10" ht="15" customHeight="1">
      <c r="B15" s="304" t="s">
        <v>206</v>
      </c>
      <c r="C15" s="304"/>
      <c r="D15" s="304"/>
      <c r="E15" s="304">
        <v>1.5E-3</v>
      </c>
      <c r="F15" s="304" t="s">
        <v>207</v>
      </c>
      <c r="G15" s="304"/>
      <c r="H15" s="304"/>
      <c r="I15" s="304"/>
    </row>
    <row r="16" spans="2:10" ht="15" customHeight="1">
      <c r="B16" s="304"/>
      <c r="C16" s="304"/>
      <c r="D16" s="304"/>
      <c r="E16" s="304"/>
      <c r="F16" s="304"/>
      <c r="G16" s="304"/>
      <c r="H16" s="304"/>
      <c r="I16" s="304"/>
    </row>
    <row r="17" spans="2:10" ht="15" customHeight="1">
      <c r="B17" s="310" t="s">
        <v>208</v>
      </c>
      <c r="C17" s="310"/>
      <c r="D17" s="304"/>
      <c r="E17" s="306"/>
      <c r="F17" s="304"/>
      <c r="G17" s="311"/>
      <c r="H17" s="304"/>
      <c r="I17" s="304"/>
    </row>
    <row r="18" spans="2:10" ht="15" customHeight="1">
      <c r="B18" s="312" t="s">
        <v>93</v>
      </c>
      <c r="C18" s="313">
        <v>1</v>
      </c>
      <c r="D18" s="304"/>
      <c r="E18" s="306"/>
      <c r="F18" s="304"/>
      <c r="G18" s="311"/>
      <c r="H18" s="304"/>
      <c r="I18" s="304"/>
    </row>
    <row r="19" spans="2:10" ht="15" customHeight="1">
      <c r="B19" s="312" t="s">
        <v>94</v>
      </c>
      <c r="C19" s="313">
        <v>25</v>
      </c>
      <c r="D19" s="304"/>
      <c r="E19" s="306"/>
      <c r="F19" s="304"/>
      <c r="G19" s="311"/>
      <c r="H19" s="304"/>
      <c r="I19" s="304"/>
    </row>
    <row r="20" spans="2:10" ht="15" customHeight="1">
      <c r="B20" s="312" t="s">
        <v>95</v>
      </c>
      <c r="C20" s="313">
        <v>298</v>
      </c>
      <c r="D20" s="304"/>
      <c r="E20" s="306"/>
      <c r="F20" s="304"/>
      <c r="G20" s="311"/>
      <c r="H20" s="304"/>
      <c r="I20" s="304"/>
    </row>
    <row r="21" spans="2:10" ht="15" customHeight="1">
      <c r="E21" s="251"/>
    </row>
    <row r="22" spans="2:10" ht="15" customHeight="1" thickBot="1">
      <c r="B22" s="115"/>
    </row>
    <row r="23" spans="2:10" ht="15" customHeight="1">
      <c r="B23" s="252" t="s">
        <v>35</v>
      </c>
      <c r="C23" s="253" t="s">
        <v>96</v>
      </c>
      <c r="D23" s="254"/>
      <c r="E23" s="255"/>
      <c r="F23" s="256" t="s">
        <v>141</v>
      </c>
    </row>
    <row r="24" spans="2:10" ht="15" customHeight="1" thickBot="1">
      <c r="B24" s="257"/>
      <c r="C24" s="258" t="s">
        <v>209</v>
      </c>
      <c r="D24" s="259" t="s">
        <v>37</v>
      </c>
      <c r="E24" s="260" t="s">
        <v>38</v>
      </c>
      <c r="F24" s="261" t="s">
        <v>143</v>
      </c>
    </row>
    <row r="25" spans="2:10" ht="15" customHeight="1">
      <c r="B25" s="265" t="s">
        <v>6</v>
      </c>
      <c r="C25" s="266">
        <v>0.3</v>
      </c>
      <c r="D25" s="267" t="s">
        <v>424</v>
      </c>
      <c r="E25" s="268">
        <f>C25*E$9/453.59</f>
        <v>1.7738486298198815</v>
      </c>
      <c r="F25" s="269">
        <f t="shared" ref="F25:F33" si="0">E25*E$13/2000*E$7</f>
        <v>8.8692431490994067E-2</v>
      </c>
    </row>
    <row r="26" spans="2:10" ht="15" customHeight="1">
      <c r="B26" s="270" t="s">
        <v>97</v>
      </c>
      <c r="C26" s="271">
        <v>5.45</v>
      </c>
      <c r="D26" s="272" t="s">
        <v>424</v>
      </c>
      <c r="E26" s="273">
        <f>C26*E$9/453.59</f>
        <v>32.224916775061182</v>
      </c>
      <c r="F26" s="274">
        <f t="shared" si="0"/>
        <v>1.6112458387530593</v>
      </c>
    </row>
    <row r="27" spans="2:10" ht="15" customHeight="1">
      <c r="B27" s="275" t="s">
        <v>98</v>
      </c>
      <c r="C27" s="271">
        <v>2.5000000000000001E-2</v>
      </c>
      <c r="D27" s="272" t="s">
        <v>424</v>
      </c>
      <c r="E27" s="273">
        <f>C27*E$9/453.59</f>
        <v>0.14782071915165679</v>
      </c>
      <c r="F27" s="276">
        <f t="shared" si="0"/>
        <v>7.3910359575828392E-3</v>
      </c>
      <c r="J27" s="249"/>
    </row>
    <row r="28" spans="2:10" ht="15" customHeight="1">
      <c r="B28" s="275" t="s">
        <v>99</v>
      </c>
      <c r="C28" s="271">
        <v>2.5000000000000001E-2</v>
      </c>
      <c r="D28" s="272" t="s">
        <v>210</v>
      </c>
      <c r="E28" s="273">
        <f>C28*E$9/453.59</f>
        <v>0.14782071915165679</v>
      </c>
      <c r="F28" s="276">
        <f>E28*E$13/2000*E$7</f>
        <v>7.3910359575828392E-3</v>
      </c>
    </row>
    <row r="29" spans="2:10" ht="15" customHeight="1">
      <c r="B29" s="275" t="s">
        <v>100</v>
      </c>
      <c r="C29" s="271">
        <v>2.5000000000000001E-2</v>
      </c>
      <c r="D29" s="272" t="s">
        <v>210</v>
      </c>
      <c r="E29" s="273">
        <f>C29*E$9/453.59</f>
        <v>0.14782071915165679</v>
      </c>
      <c r="F29" s="276">
        <f t="shared" si="0"/>
        <v>7.3910359575828392E-3</v>
      </c>
    </row>
    <row r="30" spans="2:10" ht="15" customHeight="1">
      <c r="B30" s="275" t="s">
        <v>101</v>
      </c>
      <c r="C30" s="277">
        <f>CONVERT(E30,"lbm","g")/E$9</f>
        <v>4.9362417983557045E-3</v>
      </c>
      <c r="D30" s="272" t="s">
        <v>180</v>
      </c>
      <c r="E30" s="278">
        <f>E12*E14*(E15/100)*((32+2*16)/32)</f>
        <v>2.9187000000000001E-2</v>
      </c>
      <c r="F30" s="279">
        <f t="shared" si="0"/>
        <v>1.4593500000000001E-3</v>
      </c>
    </row>
    <row r="31" spans="2:10" ht="15" customHeight="1">
      <c r="B31" s="275" t="s">
        <v>12</v>
      </c>
      <c r="C31" s="271">
        <v>0.11</v>
      </c>
      <c r="D31" s="272" t="s">
        <v>424</v>
      </c>
      <c r="E31" s="273">
        <f>C31*E$9/453.59</f>
        <v>0.65041116426728984</v>
      </c>
      <c r="F31" s="276">
        <f t="shared" si="0"/>
        <v>3.2520558213364498E-2</v>
      </c>
    </row>
    <row r="32" spans="2:10" ht="15" customHeight="1">
      <c r="B32" s="275" t="s">
        <v>52</v>
      </c>
      <c r="C32" s="280" t="s">
        <v>15</v>
      </c>
      <c r="D32" s="272"/>
      <c r="E32" s="281" t="s">
        <v>15</v>
      </c>
      <c r="F32" s="282" t="s">
        <v>15</v>
      </c>
    </row>
    <row r="33" spans="2:9" ht="15" customHeight="1">
      <c r="B33" s="275" t="s">
        <v>103</v>
      </c>
      <c r="C33" s="277">
        <f>CONVERT(E33,"lbm","g")/E$9</f>
        <v>7.5586202537321736E-3</v>
      </c>
      <c r="D33" s="272" t="s">
        <v>181</v>
      </c>
      <c r="E33" s="278">
        <f>E30*((2*1+32+4*16)/(32+2*16))</f>
        <v>4.4692593750000002E-2</v>
      </c>
      <c r="F33" s="279">
        <f t="shared" si="0"/>
        <v>2.2346296875000002E-3</v>
      </c>
    </row>
    <row r="34" spans="2:9" ht="15" customHeight="1">
      <c r="B34" s="275" t="s">
        <v>211</v>
      </c>
      <c r="C34" s="280" t="s">
        <v>15</v>
      </c>
      <c r="D34" s="272"/>
      <c r="E34" s="281" t="s">
        <v>15</v>
      </c>
      <c r="F34" s="282" t="s">
        <v>15</v>
      </c>
    </row>
    <row r="35" spans="2:9" ht="15" customHeight="1">
      <c r="B35" s="275" t="s">
        <v>212</v>
      </c>
      <c r="C35" s="280" t="s">
        <v>15</v>
      </c>
      <c r="D35" s="272"/>
      <c r="E35" s="281" t="s">
        <v>15</v>
      </c>
      <c r="F35" s="282" t="s">
        <v>15</v>
      </c>
    </row>
    <row r="36" spans="2:9" ht="15" customHeight="1">
      <c r="B36" s="275" t="s">
        <v>213</v>
      </c>
      <c r="C36" s="283">
        <f>CONVERT(E36/E$9,"lbm","g")</f>
        <v>526.19592963587661</v>
      </c>
      <c r="D36" s="272" t="s">
        <v>102</v>
      </c>
      <c r="E36" s="284">
        <f>SUM(E37:E38)</f>
        <v>3111.2901729000005</v>
      </c>
      <c r="F36" s="285">
        <f>SUM(F37:F38)</f>
        <v>155.56450864500005</v>
      </c>
      <c r="I36" s="262"/>
    </row>
    <row r="37" spans="2:9" s="263" customFormat="1">
      <c r="B37" s="286" t="s">
        <v>106</v>
      </c>
      <c r="C37" s="287">
        <f>CONVERT(1.16,"lbm","g")</f>
        <v>526.16714920000004</v>
      </c>
      <c r="D37" s="272" t="s">
        <v>183</v>
      </c>
      <c r="E37" s="288">
        <f>CONVERT(C37,"g","lbm")*E$9</f>
        <v>3111.1200000000003</v>
      </c>
      <c r="F37" s="289">
        <f>E37*E$13/2000*E$7</f>
        <v>155.55600000000004</v>
      </c>
      <c r="I37" s="264"/>
    </row>
    <row r="38" spans="2:9" s="263" customFormat="1">
      <c r="B38" s="286" t="s">
        <v>107</v>
      </c>
      <c r="C38" s="287">
        <f>CONVERT(0.000705*(9/100),"lbm","g")</f>
        <v>2.8780435876500001E-2</v>
      </c>
      <c r="D38" s="272" t="s">
        <v>183</v>
      </c>
      <c r="E38" s="290">
        <f>CONVERT(C38,"g","lbm")*E$9</f>
        <v>0.17017289999999999</v>
      </c>
      <c r="F38" s="289">
        <f>E38*E$13/2000*E$7</f>
        <v>8.5086449999999987E-3</v>
      </c>
    </row>
    <row r="39" spans="2:9" s="263" customFormat="1">
      <c r="B39" s="286" t="s">
        <v>108</v>
      </c>
      <c r="C39" s="291" t="s">
        <v>15</v>
      </c>
      <c r="D39" s="272"/>
      <c r="E39" s="292" t="s">
        <v>15</v>
      </c>
      <c r="F39" s="293" t="s">
        <v>15</v>
      </c>
    </row>
    <row r="40" spans="2:9" ht="15" customHeight="1">
      <c r="B40" s="275" t="s">
        <v>109</v>
      </c>
      <c r="C40" s="283">
        <f>CONVERT(E40/E$9,"lbm","g")</f>
        <v>526.88666009691258</v>
      </c>
      <c r="D40" s="272" t="s">
        <v>102</v>
      </c>
      <c r="E40" s="284">
        <f>SUM(E41:E42)</f>
        <v>3115.3743225000003</v>
      </c>
      <c r="F40" s="285">
        <f>SUM(F41:F42)</f>
        <v>155.76871612500003</v>
      </c>
    </row>
    <row r="41" spans="2:9" s="263" customFormat="1">
      <c r="B41" s="286" t="s">
        <v>106</v>
      </c>
      <c r="C41" s="294">
        <f>CONVERT(E41/E$9,"lbm","g")</f>
        <v>526.16714920000004</v>
      </c>
      <c r="D41" s="272" t="s">
        <v>214</v>
      </c>
      <c r="E41" s="295">
        <f>E37*C18</f>
        <v>3111.1200000000003</v>
      </c>
      <c r="F41" s="289">
        <f>E41*E$13/2000*E$7</f>
        <v>155.55600000000004</v>
      </c>
    </row>
    <row r="42" spans="2:9" s="263" customFormat="1">
      <c r="B42" s="286" t="s">
        <v>107</v>
      </c>
      <c r="C42" s="294">
        <f>CONVERT(E42/E$9,"lbm","g")</f>
        <v>0.71951089691250003</v>
      </c>
      <c r="D42" s="272" t="s">
        <v>214</v>
      </c>
      <c r="E42" s="296">
        <f>E38*C19</f>
        <v>4.2543224999999998</v>
      </c>
      <c r="F42" s="289">
        <f>E42*E$13/2000*E$7</f>
        <v>0.21271612499999998</v>
      </c>
    </row>
    <row r="43" spans="2:9" s="263" customFormat="1" ht="13.5" thickBot="1">
      <c r="B43" s="297" t="s">
        <v>108</v>
      </c>
      <c r="C43" s="298" t="s">
        <v>15</v>
      </c>
      <c r="D43" s="299"/>
      <c r="E43" s="300" t="s">
        <v>15</v>
      </c>
      <c r="F43" s="301" t="s">
        <v>15</v>
      </c>
    </row>
    <row r="44" spans="2:9" ht="15" customHeight="1"/>
    <row r="45" spans="2:9" ht="15" customHeight="1">
      <c r="B45" s="106"/>
      <c r="C45" s="250"/>
      <c r="D45" s="250"/>
      <c r="E45" s="250"/>
      <c r="F45" s="250"/>
      <c r="G45" s="250"/>
      <c r="H45" s="250"/>
      <c r="I45" s="250"/>
    </row>
    <row r="46" spans="2:9" ht="15" customHeight="1">
      <c r="B46" s="205" t="s">
        <v>110</v>
      </c>
    </row>
    <row r="47" spans="2:9" ht="15" customHeight="1">
      <c r="B47" s="247" t="s">
        <v>433</v>
      </c>
    </row>
    <row r="48" spans="2:9" ht="15" customHeight="1">
      <c r="B48" s="247" t="s">
        <v>418</v>
      </c>
    </row>
    <row r="49" spans="2:3" ht="15" customHeight="1">
      <c r="B49" s="247" t="s">
        <v>422</v>
      </c>
    </row>
    <row r="50" spans="2:3" ht="15" customHeight="1">
      <c r="B50" s="89" t="s">
        <v>216</v>
      </c>
    </row>
    <row r="51" spans="2:3" ht="15" customHeight="1">
      <c r="B51" s="89" t="s">
        <v>113</v>
      </c>
    </row>
    <row r="52" spans="2:3" ht="15" customHeight="1">
      <c r="B52" s="247" t="s">
        <v>217</v>
      </c>
    </row>
    <row r="53" spans="2:3" ht="15" customHeight="1">
      <c r="B53" s="137" t="s">
        <v>218</v>
      </c>
    </row>
    <row r="54" spans="2:3" ht="15" customHeight="1">
      <c r="B54" s="206" t="s">
        <v>219</v>
      </c>
    </row>
    <row r="55" spans="2:3" ht="15" customHeight="1">
      <c r="B55" s="206" t="s">
        <v>220</v>
      </c>
    </row>
    <row r="56" spans="2:3" ht="15" customHeight="1">
      <c r="B56" s="206" t="s">
        <v>221</v>
      </c>
    </row>
    <row r="57" spans="2:3" ht="15" customHeight="1">
      <c r="B57" s="247" t="s">
        <v>222</v>
      </c>
    </row>
    <row r="58" spans="2:3" ht="15" customHeight="1">
      <c r="B58" s="89"/>
    </row>
    <row r="59" spans="2:3" ht="15" customHeight="1">
      <c r="B59" s="138" t="s">
        <v>123</v>
      </c>
    </row>
    <row r="60" spans="2:3" ht="15" customHeight="1">
      <c r="B60" s="139" t="s">
        <v>223</v>
      </c>
      <c r="C60" s="139"/>
    </row>
    <row r="61" spans="2:3" ht="15" customHeight="1">
      <c r="B61" s="139" t="s">
        <v>224</v>
      </c>
      <c r="C61" s="139"/>
    </row>
    <row r="62" spans="2:3" ht="15" customHeight="1">
      <c r="B62" s="140" t="s">
        <v>126</v>
      </c>
      <c r="C62" s="141" t="s">
        <v>225</v>
      </c>
    </row>
    <row r="63" spans="2:3" ht="15" customHeight="1">
      <c r="B63" s="140"/>
      <c r="C63" s="141" t="s">
        <v>226</v>
      </c>
    </row>
    <row r="64" spans="2:3" ht="15" customHeight="1">
      <c r="B64" s="139" t="s">
        <v>227</v>
      </c>
      <c r="C64" s="141"/>
    </row>
  </sheetData>
  <pageMargins left="0.75" right="0.75" top="1" bottom="1" header="0.5" footer="0.5"/>
  <pageSetup paperSize="3" orientation="portrait"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Project Summary</vt:lpstr>
      <vt:lpstr>Gas Engines</vt:lpstr>
      <vt:lpstr>Flares</vt:lpstr>
      <vt:lpstr>Boilers</vt:lpstr>
      <vt:lpstr>New Carbon Scrubber Emissions</vt:lpstr>
      <vt:lpstr>Existing Scrubber Emissions</vt:lpstr>
      <vt:lpstr>1750 kW Diesel Generator</vt:lpstr>
      <vt:lpstr>1750 kW HAP Emissions</vt:lpstr>
      <vt:lpstr>2000 kW Diesel Generator </vt:lpstr>
      <vt:lpstr>2000 kW HAP Emissions</vt:lpstr>
      <vt:lpstr>Cooling Tower </vt:lpstr>
      <vt:lpstr>'1750 kW Diesel Generator'!Print_Area</vt:lpstr>
      <vt:lpstr>'1750 kW HAP Emissions'!Print_Area</vt:lpstr>
      <vt:lpstr>'2000 kW Diesel Generator '!Print_Area</vt:lpstr>
      <vt:lpstr>'2000 kW HAP Emissions'!Print_Area</vt:lpstr>
      <vt:lpstr>Boilers!Print_Area</vt:lpstr>
      <vt:lpstr>'Cooling Tower '!Print_Area</vt:lpstr>
      <vt:lpstr>'Existing Scrubber Emissions'!Print_Area</vt:lpstr>
      <vt:lpstr>Flares!Print_Area</vt:lpstr>
      <vt:lpstr>'Gas Engines'!Print_Area</vt:lpstr>
      <vt:lpstr>'New Carbon Scrubber Emissions'!Print_Area</vt:lpstr>
      <vt:lpstr>'Project Summary'!Print_Area</vt:lpstr>
    </vt:vector>
  </TitlesOfParts>
  <Company>Black &amp; Veatch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Knechtel</dc:creator>
  <cp:lastModifiedBy>Mike Knechtel</cp:lastModifiedBy>
  <cp:lastPrinted>2014-07-29T21:33:44Z</cp:lastPrinted>
  <dcterms:created xsi:type="dcterms:W3CDTF">2013-10-21T14:03:39Z</dcterms:created>
  <dcterms:modified xsi:type="dcterms:W3CDTF">2014-08-18T14:05:19Z</dcterms:modified>
</cp:coreProperties>
</file>