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440" windowHeight="8685" tabRatio="921"/>
  </bookViews>
  <sheets>
    <sheet name="TABLE 1 Summary PM" sheetId="4" r:id="rId1"/>
    <sheet name="Table 2 Stack Out" sheetId="6" r:id="rId2"/>
    <sheet name="Table 3 Reclaim and EU003truck" sheetId="7" r:id="rId3"/>
    <sheet name="Table 4 Material Handling Data" sheetId="5" r:id="rId4"/>
    <sheet name="Table 5 EU003 Calcs" sheetId="8" r:id="rId5"/>
    <sheet name="Sheet1" sheetId="13" state="hidden" r:id="rId6"/>
  </sheets>
  <externalReferences>
    <externalReference r:id="rId7"/>
  </externalReferences>
  <definedNames>
    <definedName name="\m" localSheetId="4">#REF!</definedName>
    <definedName name="\m">#REF!</definedName>
    <definedName name="\p" localSheetId="4">#REF!</definedName>
    <definedName name="\p">#REF!</definedName>
    <definedName name="_Fill" localSheetId="4" hidden="1">#REF!</definedName>
    <definedName name="_Fill" hidden="1">#REF!</definedName>
    <definedName name="MENU1" localSheetId="4">#REF!</definedName>
    <definedName name="MENU1">#REF!</definedName>
    <definedName name="PAGE1" localSheetId="4">#REF!</definedName>
    <definedName name="PAGE1">#REF!</definedName>
    <definedName name="PAGE2" localSheetId="4">#REF!</definedName>
    <definedName name="PAGE2">#REF!</definedName>
    <definedName name="PAGE3" localSheetId="4">#REF!</definedName>
    <definedName name="PAGE3">#REF!</definedName>
    <definedName name="PAGE4" localSheetId="4">#REF!</definedName>
    <definedName name="PAGE4">#REF!</definedName>
    <definedName name="PAGE7" localSheetId="4">[1]EU045!#REF!</definedName>
    <definedName name="PAGE7">[1]EU045!#REF!</definedName>
    <definedName name="PAGE8" localSheetId="4">[1]EU045!#REF!</definedName>
    <definedName name="PAGE8">[1]EU045!#REF!</definedName>
    <definedName name="_xlnm.Print_Area" localSheetId="0">'TABLE 1 Summary PM'!$B$1:$M$56</definedName>
    <definedName name="_xlnm.Print_Area" localSheetId="1">'Table 2 Stack Out'!$A$1:$Z$117</definedName>
    <definedName name="_xlnm.Print_Area" localSheetId="2">'Table 3 Reclaim and EU003truck'!$A$1:$T$91</definedName>
    <definedName name="_xlnm.Print_Area" localSheetId="3">'Table 4 Material Handling Data'!$A$1:$F$71</definedName>
    <definedName name="_xlnm.Print_Area" localSheetId="4">'Table 5 EU003 Calcs'!$B$2:$G$28</definedName>
    <definedName name="_xlnm.Print_Titles" localSheetId="4">#REF!</definedName>
    <definedName name="_xlnm.Print_Titles">#REF!</definedName>
    <definedName name="PRINT_TITLES_MI" localSheetId="4">#REF!</definedName>
    <definedName name="PRINT_TITLES_MI">#REF!</definedName>
    <definedName name="solver_adj" localSheetId="2" hidden="1">'Table 3 Reclaim and EU003truck'!$S$46</definedName>
    <definedName name="solver_adj" localSheetId="4" hidden="1">'Table 5 EU003 Calcs'!$F$18</definedName>
    <definedName name="solver_cvg" localSheetId="2" hidden="1">0.0001</definedName>
    <definedName name="solver_cvg" localSheetId="4" hidden="1">0.0001</definedName>
    <definedName name="solver_drv" localSheetId="2" hidden="1">1</definedName>
    <definedName name="solver_drv" localSheetId="4" hidden="1">1</definedName>
    <definedName name="solver_eng" localSheetId="2" hidden="1">1</definedName>
    <definedName name="solver_eng" localSheetId="4" hidden="1">1</definedName>
    <definedName name="solver_est" localSheetId="2" hidden="1">1</definedName>
    <definedName name="solver_est" localSheetId="4" hidden="1">1</definedName>
    <definedName name="solver_itr" localSheetId="2" hidden="1">2147483647</definedName>
    <definedName name="solver_itr" localSheetId="4" hidden="1">2147483647</definedName>
    <definedName name="solver_mip" localSheetId="2" hidden="1">2147483647</definedName>
    <definedName name="solver_mip" localSheetId="4" hidden="1">2147483647</definedName>
    <definedName name="solver_mni" localSheetId="2" hidden="1">30</definedName>
    <definedName name="solver_mni" localSheetId="4" hidden="1">30</definedName>
    <definedName name="solver_mrt" localSheetId="2" hidden="1">0.075</definedName>
    <definedName name="solver_mrt" localSheetId="4" hidden="1">0.075</definedName>
    <definedName name="solver_msl" localSheetId="2" hidden="1">2</definedName>
    <definedName name="solver_msl" localSheetId="4" hidden="1">2</definedName>
    <definedName name="solver_neg" localSheetId="2" hidden="1">1</definedName>
    <definedName name="solver_neg" localSheetId="4" hidden="1">1</definedName>
    <definedName name="solver_nod" localSheetId="2" hidden="1">2147483647</definedName>
    <definedName name="solver_nod" localSheetId="4" hidden="1">2147483647</definedName>
    <definedName name="solver_num" localSheetId="2" hidden="1">0</definedName>
    <definedName name="solver_num" localSheetId="4" hidden="1">0</definedName>
    <definedName name="solver_nwt" localSheetId="2" hidden="1">1</definedName>
    <definedName name="solver_nwt" localSheetId="4" hidden="1">1</definedName>
    <definedName name="solver_opt" localSheetId="2" hidden="1">'Table 3 Reclaim and EU003truck'!$S$64</definedName>
    <definedName name="solver_opt" localSheetId="4" hidden="1">'Table 5 EU003 Calcs'!$F$21</definedName>
    <definedName name="solver_pre" localSheetId="2" hidden="1">0.000001</definedName>
    <definedName name="solver_pre" localSheetId="4" hidden="1">0.000001</definedName>
    <definedName name="solver_rbv" localSheetId="2" hidden="1">1</definedName>
    <definedName name="solver_rbv" localSheetId="4" hidden="1">1</definedName>
    <definedName name="solver_rlx" localSheetId="2" hidden="1">2</definedName>
    <definedName name="solver_rlx" localSheetId="4" hidden="1">2</definedName>
    <definedName name="solver_rsd" localSheetId="2" hidden="1">0</definedName>
    <definedName name="solver_rsd" localSheetId="4" hidden="1">0</definedName>
    <definedName name="solver_scl" localSheetId="2" hidden="1">1</definedName>
    <definedName name="solver_scl" localSheetId="4" hidden="1">1</definedName>
    <definedName name="solver_sho" localSheetId="2" hidden="1">2</definedName>
    <definedName name="solver_sho" localSheetId="4" hidden="1">2</definedName>
    <definedName name="solver_ssz" localSheetId="2" hidden="1">100</definedName>
    <definedName name="solver_ssz" localSheetId="4" hidden="1">100</definedName>
    <definedName name="solver_tim" localSheetId="2" hidden="1">2147483647</definedName>
    <definedName name="solver_tim" localSheetId="4" hidden="1">2147483647</definedName>
    <definedName name="solver_tol" localSheetId="2" hidden="1">0.01</definedName>
    <definedName name="solver_tol" localSheetId="4" hidden="1">0.01</definedName>
    <definedName name="solver_typ" localSheetId="2" hidden="1">3</definedName>
    <definedName name="solver_typ" localSheetId="4" hidden="1">3</definedName>
    <definedName name="solver_val" localSheetId="2" hidden="1">0.29</definedName>
    <definedName name="solver_val" localSheetId="4" hidden="1">5.4</definedName>
    <definedName name="solver_ver" localSheetId="2" hidden="1">3</definedName>
    <definedName name="solver_ver" localSheetId="4" hidden="1">3</definedName>
    <definedName name="Temp" localSheetId="4">#REF!</definedName>
    <definedName name="Temp">#REF!</definedName>
  </definedNames>
  <calcPr calcId="144525"/>
</workbook>
</file>

<file path=xl/calcChain.xml><?xml version="1.0" encoding="utf-8"?>
<calcChain xmlns="http://schemas.openxmlformats.org/spreadsheetml/2006/main">
  <c r="L30" i="4" l="1"/>
  <c r="M30" i="4"/>
  <c r="K30" i="4"/>
  <c r="K31" i="4"/>
  <c r="J30" i="4"/>
  <c r="I31" i="4"/>
  <c r="I30" i="4"/>
  <c r="H30" i="4"/>
  <c r="H29" i="4"/>
  <c r="N79" i="7"/>
  <c r="N89" i="7" s="1"/>
  <c r="N78" i="7"/>
  <c r="N88" i="7" s="1"/>
  <c r="N77" i="7"/>
  <c r="N76" i="7"/>
  <c r="N73" i="7"/>
  <c r="N86" i="7" s="1"/>
  <c r="N72" i="7"/>
  <c r="N85" i="7" s="1"/>
  <c r="N71" i="7"/>
  <c r="N70" i="7"/>
  <c r="N67" i="7"/>
  <c r="N83" i="7" s="1"/>
  <c r="N66" i="7"/>
  <c r="N82" i="7" s="1"/>
  <c r="N65" i="7"/>
  <c r="N64" i="7"/>
  <c r="P77" i="7"/>
  <c r="P76" i="7"/>
  <c r="P71" i="7"/>
  <c r="P70" i="7"/>
  <c r="P65" i="7"/>
  <c r="P64" i="7"/>
  <c r="Q77" i="7"/>
  <c r="Q76" i="7"/>
  <c r="Q71" i="7"/>
  <c r="Q70" i="7"/>
  <c r="Q65" i="7"/>
  <c r="Q64" i="7"/>
  <c r="R77" i="7"/>
  <c r="R76" i="7"/>
  <c r="R71" i="7"/>
  <c r="R70" i="7"/>
  <c r="R65" i="7"/>
  <c r="R64" i="7"/>
  <c r="F20" i="8" l="1"/>
  <c r="F19" i="8"/>
  <c r="J51" i="4" l="1"/>
  <c r="L51" i="4" s="1"/>
  <c r="H51" i="4"/>
  <c r="I51" i="4" s="1"/>
  <c r="K51" i="4" s="1"/>
  <c r="M51" i="4" s="1"/>
  <c r="F22" i="8" l="1"/>
  <c r="F26" i="8" l="1"/>
  <c r="F23" i="8"/>
  <c r="I16" i="4" l="1"/>
  <c r="S114" i="6"/>
  <c r="S111" i="6"/>
  <c r="S112" i="6" s="1"/>
  <c r="S115" i="6"/>
  <c r="S109" i="6"/>
  <c r="S108" i="6"/>
  <c r="H17" i="4" s="1"/>
  <c r="Q103" i="6"/>
  <c r="Q104" i="6"/>
  <c r="Q105" i="6"/>
  <c r="Q102" i="6"/>
  <c r="Q114" i="6"/>
  <c r="Q115" i="6" s="1"/>
  <c r="Q111" i="6"/>
  <c r="Q112" i="6" s="1"/>
  <c r="Q109" i="6"/>
  <c r="Q108" i="6"/>
  <c r="H15" i="4" s="1"/>
  <c r="R103" i="6"/>
  <c r="R102" i="6"/>
  <c r="R104" i="6" s="1"/>
  <c r="R99" i="6"/>
  <c r="R112" i="6" s="1"/>
  <c r="K16" i="4" s="1"/>
  <c r="R97" i="6"/>
  <c r="R96" i="6"/>
  <c r="R98" i="6" s="1"/>
  <c r="R111" i="6" s="1"/>
  <c r="J16" i="4" s="1"/>
  <c r="R93" i="6"/>
  <c r="R109" i="6" s="1"/>
  <c r="R91" i="6"/>
  <c r="R90" i="6"/>
  <c r="R92" i="6" s="1"/>
  <c r="R108" i="6" s="1"/>
  <c r="H16" i="4" s="1"/>
  <c r="P103" i="6"/>
  <c r="P102" i="6"/>
  <c r="P104" i="6" s="1"/>
  <c r="P97" i="6"/>
  <c r="P99" i="6" s="1"/>
  <c r="P112" i="6" s="1"/>
  <c r="K14" i="4" s="1"/>
  <c r="P96" i="6"/>
  <c r="P98" i="6" s="1"/>
  <c r="P111" i="6" s="1"/>
  <c r="J14" i="4" s="1"/>
  <c r="P93" i="6"/>
  <c r="P109" i="6" s="1"/>
  <c r="I14" i="4" s="1"/>
  <c r="P91" i="6"/>
  <c r="P90" i="6"/>
  <c r="P92" i="6" s="1"/>
  <c r="P108" i="6" s="1"/>
  <c r="H14" i="4" s="1"/>
  <c r="R114" i="6" l="1"/>
  <c r="L16" i="4" s="1"/>
  <c r="R105" i="6"/>
  <c r="R115" i="6" s="1"/>
  <c r="M16" i="4" s="1"/>
  <c r="P114" i="6"/>
  <c r="L14" i="4" s="1"/>
  <c r="P105" i="6"/>
  <c r="P115" i="6" s="1"/>
  <c r="M14" i="4" s="1"/>
  <c r="M43" i="4"/>
  <c r="K43" i="4"/>
  <c r="I43" i="4"/>
  <c r="M47" i="4"/>
  <c r="J47" i="4"/>
  <c r="F25" i="8" l="1"/>
  <c r="H47" i="4"/>
  <c r="L47" i="4"/>
  <c r="K47" i="4"/>
  <c r="I47" i="4"/>
  <c r="S85" i="7" l="1"/>
  <c r="J39" i="4" s="1"/>
  <c r="S77" i="7"/>
  <c r="S76" i="7"/>
  <c r="S78" i="7" s="1"/>
  <c r="S88" i="7" s="1"/>
  <c r="S71" i="7"/>
  <c r="S70" i="7"/>
  <c r="S72" i="7" s="1"/>
  <c r="S65" i="7"/>
  <c r="S67" i="7" s="1"/>
  <c r="S64" i="7"/>
  <c r="S66" i="7" s="1"/>
  <c r="S82" i="7" s="1"/>
  <c r="L64" i="7"/>
  <c r="L92" i="6"/>
  <c r="L108" i="6" s="1"/>
  <c r="H10" i="4" s="1"/>
  <c r="L90" i="6"/>
  <c r="H39" i="4" l="1"/>
  <c r="S83" i="7"/>
  <c r="I39" i="4" s="1"/>
  <c r="S89" i="7"/>
  <c r="M39" i="4" s="1"/>
  <c r="L39" i="4"/>
  <c r="S86" i="7"/>
  <c r="K39" i="4" s="1"/>
  <c r="S79" i="7"/>
  <c r="S73" i="7"/>
  <c r="L45" i="4"/>
  <c r="J45" i="4"/>
  <c r="I45" i="4"/>
  <c r="H45" i="4"/>
  <c r="M45" i="4"/>
  <c r="K45" i="4"/>
  <c r="V103" i="6" l="1"/>
  <c r="V105" i="6" s="1"/>
  <c r="V115" i="6" s="1"/>
  <c r="V102" i="6"/>
  <c r="V104" i="6" s="1"/>
  <c r="V114" i="6" s="1"/>
  <c r="V97" i="6"/>
  <c r="V99" i="6" s="1"/>
  <c r="V112" i="6" s="1"/>
  <c r="V96" i="6"/>
  <c r="V98" i="6" s="1"/>
  <c r="V111" i="6" s="1"/>
  <c r="V91" i="6"/>
  <c r="V93" i="6" s="1"/>
  <c r="V109" i="6" s="1"/>
  <c r="V90" i="6"/>
  <c r="V92" i="6" s="1"/>
  <c r="V108" i="6" s="1"/>
  <c r="R79" i="7" l="1"/>
  <c r="R89" i="7" s="1"/>
  <c r="Q79" i="7"/>
  <c r="Q89" i="7" s="1"/>
  <c r="P79" i="7"/>
  <c r="P89" i="7" s="1"/>
  <c r="O77" i="7"/>
  <c r="O79" i="7" s="1"/>
  <c r="O89" i="7" s="1"/>
  <c r="M31" i="4" s="1"/>
  <c r="M77" i="7"/>
  <c r="M79" i="7" s="1"/>
  <c r="M89" i="7" s="1"/>
  <c r="M29" i="4" s="1"/>
  <c r="L77" i="7"/>
  <c r="L79" i="7" s="1"/>
  <c r="L89" i="7" s="1"/>
  <c r="M28" i="4" s="1"/>
  <c r="R78" i="7"/>
  <c r="R88" i="7" s="1"/>
  <c r="Q78" i="7"/>
  <c r="Q88" i="7" s="1"/>
  <c r="P78" i="7"/>
  <c r="P88" i="7" s="1"/>
  <c r="O76" i="7"/>
  <c r="O78" i="7" s="1"/>
  <c r="O88" i="7" s="1"/>
  <c r="L31" i="4" s="1"/>
  <c r="M76" i="7"/>
  <c r="M78" i="7" s="1"/>
  <c r="M88" i="7" s="1"/>
  <c r="L29" i="4" s="1"/>
  <c r="L76" i="7"/>
  <c r="L78" i="7" s="1"/>
  <c r="L88" i="7" s="1"/>
  <c r="L28" i="4" s="1"/>
  <c r="R73" i="7"/>
  <c r="R86" i="7" s="1"/>
  <c r="Q73" i="7"/>
  <c r="Q86" i="7" s="1"/>
  <c r="P73" i="7"/>
  <c r="P86" i="7" s="1"/>
  <c r="O71" i="7"/>
  <c r="O73" i="7" s="1"/>
  <c r="O86" i="7" s="1"/>
  <c r="M71" i="7"/>
  <c r="M73" i="7" s="1"/>
  <c r="M86" i="7" s="1"/>
  <c r="K29" i="4" s="1"/>
  <c r="L71" i="7"/>
  <c r="L73" i="7" s="1"/>
  <c r="L86" i="7" s="1"/>
  <c r="K28" i="4" s="1"/>
  <c r="R72" i="7"/>
  <c r="R85" i="7" s="1"/>
  <c r="Q72" i="7"/>
  <c r="Q85" i="7" s="1"/>
  <c r="P72" i="7"/>
  <c r="P85" i="7" s="1"/>
  <c r="O70" i="7"/>
  <c r="O72" i="7" s="1"/>
  <c r="O85" i="7" s="1"/>
  <c r="J31" i="4" s="1"/>
  <c r="M70" i="7"/>
  <c r="M72" i="7" s="1"/>
  <c r="M85" i="7" s="1"/>
  <c r="J29" i="4" s="1"/>
  <c r="L70" i="7"/>
  <c r="L72" i="7" s="1"/>
  <c r="L85" i="7" s="1"/>
  <c r="J28" i="4" s="1"/>
  <c r="R67" i="7"/>
  <c r="R83" i="7" s="1"/>
  <c r="Q67" i="7"/>
  <c r="Q83" i="7" s="1"/>
  <c r="P67" i="7"/>
  <c r="P83" i="7" s="1"/>
  <c r="O65" i="7"/>
  <c r="O67" i="7" s="1"/>
  <c r="O83" i="7" s="1"/>
  <c r="M65" i="7"/>
  <c r="M67" i="7" s="1"/>
  <c r="M83" i="7" s="1"/>
  <c r="I29" i="4" s="1"/>
  <c r="L65" i="7"/>
  <c r="L67" i="7" s="1"/>
  <c r="L83" i="7" s="1"/>
  <c r="I28" i="4" s="1"/>
  <c r="R66" i="7"/>
  <c r="R82" i="7" s="1"/>
  <c r="Q66" i="7"/>
  <c r="Q82" i="7" s="1"/>
  <c r="P66" i="7"/>
  <c r="P82" i="7" s="1"/>
  <c r="O64" i="7"/>
  <c r="O66" i="7" s="1"/>
  <c r="O82" i="7" s="1"/>
  <c r="H31" i="4" s="1"/>
  <c r="M64" i="7"/>
  <c r="M66" i="7" s="1"/>
  <c r="M82" i="7" s="1"/>
  <c r="L66" i="7"/>
  <c r="L82" i="7" s="1"/>
  <c r="H28" i="4" s="1"/>
  <c r="M105" i="6"/>
  <c r="M115" i="6" s="1"/>
  <c r="M11" i="4" s="1"/>
  <c r="L105" i="6"/>
  <c r="L115" i="6" s="1"/>
  <c r="M10" i="4" s="1"/>
  <c r="M104" i="6"/>
  <c r="M114" i="6" s="1"/>
  <c r="L11" i="4" s="1"/>
  <c r="L104" i="6"/>
  <c r="L114" i="6" s="1"/>
  <c r="L10" i="4" s="1"/>
  <c r="Z103" i="6"/>
  <c r="Z105" i="6" s="1"/>
  <c r="Z115" i="6" s="1"/>
  <c r="Y103" i="6"/>
  <c r="X103" i="6"/>
  <c r="W103" i="6"/>
  <c r="U103" i="6"/>
  <c r="T103" i="6"/>
  <c r="O103" i="6"/>
  <c r="N103" i="6"/>
  <c r="M103" i="6"/>
  <c r="L103" i="6"/>
  <c r="Z102" i="6"/>
  <c r="Z104" i="6" s="1"/>
  <c r="Z114" i="6" s="1"/>
  <c r="Y102" i="6"/>
  <c r="Y104" i="6" s="1"/>
  <c r="X102" i="6"/>
  <c r="X104" i="6" s="1"/>
  <c r="W102" i="6"/>
  <c r="W104" i="6" s="1"/>
  <c r="U102" i="6"/>
  <c r="U104" i="6" s="1"/>
  <c r="T102" i="6"/>
  <c r="T104" i="6" s="1"/>
  <c r="O102" i="6"/>
  <c r="O104" i="6" s="1"/>
  <c r="N102" i="6"/>
  <c r="N104" i="6" s="1"/>
  <c r="M102" i="6"/>
  <c r="L102" i="6"/>
  <c r="M99" i="6"/>
  <c r="M112" i="6" s="1"/>
  <c r="K11" i="4" s="1"/>
  <c r="L99" i="6"/>
  <c r="L112" i="6" s="1"/>
  <c r="K10" i="4" s="1"/>
  <c r="M98" i="6"/>
  <c r="M111" i="6" s="1"/>
  <c r="J11" i="4" s="1"/>
  <c r="L98" i="6"/>
  <c r="L111" i="6" s="1"/>
  <c r="J10" i="4" s="1"/>
  <c r="Z97" i="6"/>
  <c r="Z99" i="6" s="1"/>
  <c r="Z112" i="6" s="1"/>
  <c r="Y97" i="6"/>
  <c r="Y99" i="6" s="1"/>
  <c r="Y112" i="6" s="1"/>
  <c r="K26" i="4" s="1"/>
  <c r="X97" i="6"/>
  <c r="X99" i="6" s="1"/>
  <c r="X112" i="6" s="1"/>
  <c r="K25" i="4" s="1"/>
  <c r="W97" i="6"/>
  <c r="W99" i="6" s="1"/>
  <c r="W112" i="6" s="1"/>
  <c r="K23" i="4" s="1"/>
  <c r="U97" i="6"/>
  <c r="U99" i="6" s="1"/>
  <c r="U112" i="6" s="1"/>
  <c r="K22" i="4" s="1"/>
  <c r="T97" i="6"/>
  <c r="T99" i="6" s="1"/>
  <c r="T112" i="6" s="1"/>
  <c r="K19" i="4" s="1"/>
  <c r="K17" i="4"/>
  <c r="K15" i="4"/>
  <c r="O97" i="6"/>
  <c r="O99" i="6" s="1"/>
  <c r="O112" i="6" s="1"/>
  <c r="K13" i="4" s="1"/>
  <c r="N97" i="6"/>
  <c r="N99" i="6" s="1"/>
  <c r="N112" i="6" s="1"/>
  <c r="K12" i="4" s="1"/>
  <c r="M97" i="6"/>
  <c r="L97" i="6"/>
  <c r="Z96" i="6"/>
  <c r="Z98" i="6" s="1"/>
  <c r="Z111" i="6" s="1"/>
  <c r="Y96" i="6"/>
  <c r="Y98" i="6" s="1"/>
  <c r="Y111" i="6" s="1"/>
  <c r="J26" i="4" s="1"/>
  <c r="X96" i="6"/>
  <c r="X98" i="6" s="1"/>
  <c r="X111" i="6" s="1"/>
  <c r="J25" i="4" s="1"/>
  <c r="W96" i="6"/>
  <c r="W98" i="6" s="1"/>
  <c r="W111" i="6" s="1"/>
  <c r="J23" i="4" s="1"/>
  <c r="U96" i="6"/>
  <c r="U98" i="6" s="1"/>
  <c r="U111" i="6" s="1"/>
  <c r="J22" i="4" s="1"/>
  <c r="T96" i="6"/>
  <c r="T98" i="6" s="1"/>
  <c r="T111" i="6" s="1"/>
  <c r="J19" i="4" s="1"/>
  <c r="J17" i="4"/>
  <c r="J15" i="4"/>
  <c r="O96" i="6"/>
  <c r="O98" i="6" s="1"/>
  <c r="O111" i="6" s="1"/>
  <c r="J13" i="4" s="1"/>
  <c r="N96" i="6"/>
  <c r="N98" i="6" s="1"/>
  <c r="N111" i="6" s="1"/>
  <c r="J12" i="4" s="1"/>
  <c r="M96" i="6"/>
  <c r="L96" i="6"/>
  <c r="M93" i="6"/>
  <c r="M109" i="6" s="1"/>
  <c r="I11" i="4" s="1"/>
  <c r="L93" i="6"/>
  <c r="L109" i="6" s="1"/>
  <c r="I10" i="4" s="1"/>
  <c r="M92" i="6"/>
  <c r="M108" i="6" s="1"/>
  <c r="H11" i="4" s="1"/>
  <c r="Z91" i="6"/>
  <c r="Z93" i="6" s="1"/>
  <c r="Z109" i="6" s="1"/>
  <c r="Y91" i="6"/>
  <c r="Y93" i="6" s="1"/>
  <c r="Y109" i="6" s="1"/>
  <c r="I26" i="4" s="1"/>
  <c r="X91" i="6"/>
  <c r="X93" i="6" s="1"/>
  <c r="X109" i="6" s="1"/>
  <c r="I25" i="4" s="1"/>
  <c r="W91" i="6"/>
  <c r="W93" i="6" s="1"/>
  <c r="W109" i="6" s="1"/>
  <c r="I23" i="4" s="1"/>
  <c r="U91" i="6"/>
  <c r="U93" i="6" s="1"/>
  <c r="U109" i="6" s="1"/>
  <c r="I22" i="4" s="1"/>
  <c r="T91" i="6"/>
  <c r="T93" i="6" s="1"/>
  <c r="T109" i="6" s="1"/>
  <c r="I19" i="4" s="1"/>
  <c r="I17" i="4"/>
  <c r="I15" i="4"/>
  <c r="O91" i="6"/>
  <c r="O93" i="6" s="1"/>
  <c r="O109" i="6" s="1"/>
  <c r="I13" i="4" s="1"/>
  <c r="N91" i="6"/>
  <c r="N93" i="6" s="1"/>
  <c r="N109" i="6" s="1"/>
  <c r="I12" i="4" s="1"/>
  <c r="M91" i="6"/>
  <c r="L91" i="6"/>
  <c r="Z90" i="6"/>
  <c r="Z92" i="6" s="1"/>
  <c r="Z108" i="6" s="1"/>
  <c r="Y90" i="6"/>
  <c r="Y92" i="6" s="1"/>
  <c r="Y108" i="6" s="1"/>
  <c r="H26" i="4" s="1"/>
  <c r="X90" i="6"/>
  <c r="X92" i="6" s="1"/>
  <c r="X108" i="6" s="1"/>
  <c r="H25" i="4" s="1"/>
  <c r="W90" i="6"/>
  <c r="W92" i="6" s="1"/>
  <c r="W108" i="6" s="1"/>
  <c r="H23" i="4" s="1"/>
  <c r="U90" i="6"/>
  <c r="U92" i="6" s="1"/>
  <c r="U108" i="6" s="1"/>
  <c r="H22" i="4" s="1"/>
  <c r="T90" i="6"/>
  <c r="T92" i="6" s="1"/>
  <c r="T108" i="6" s="1"/>
  <c r="H19" i="4" s="1"/>
  <c r="O90" i="6"/>
  <c r="O92" i="6" s="1"/>
  <c r="O108" i="6" s="1"/>
  <c r="H13" i="4" s="1"/>
  <c r="N90" i="6"/>
  <c r="N92" i="6" s="1"/>
  <c r="N108" i="6" s="1"/>
  <c r="H12" i="4" s="1"/>
  <c r="M90" i="6"/>
  <c r="I41" i="4" l="1"/>
  <c r="I52" i="4" s="1"/>
  <c r="K34" i="4"/>
  <c r="M34" i="4"/>
  <c r="L34" i="4"/>
  <c r="J34" i="4"/>
  <c r="I34" i="4"/>
  <c r="H34" i="4"/>
  <c r="M35" i="4"/>
  <c r="L35" i="4"/>
  <c r="K35" i="4"/>
  <c r="J35" i="4"/>
  <c r="I35" i="4"/>
  <c r="H35" i="4"/>
  <c r="M36" i="4"/>
  <c r="L36" i="4"/>
  <c r="K36" i="4"/>
  <c r="J36" i="4"/>
  <c r="I36" i="4"/>
  <c r="H36" i="4"/>
  <c r="H27" i="4"/>
  <c r="H24" i="4"/>
  <c r="I27" i="4"/>
  <c r="I24" i="4"/>
  <c r="J27" i="4"/>
  <c r="J24" i="4"/>
  <c r="J41" i="4" s="1"/>
  <c r="K27" i="4"/>
  <c r="K24" i="4"/>
  <c r="L27" i="4"/>
  <c r="L24" i="4"/>
  <c r="M27" i="4"/>
  <c r="M24" i="4"/>
  <c r="N114" i="6"/>
  <c r="L12" i="4" s="1"/>
  <c r="N105" i="6"/>
  <c r="N115" i="6" s="1"/>
  <c r="M12" i="4" s="1"/>
  <c r="T114" i="6"/>
  <c r="L19" i="4" s="1"/>
  <c r="T105" i="6"/>
  <c r="T115" i="6" s="1"/>
  <c r="M19" i="4" s="1"/>
  <c r="Y114" i="6"/>
  <c r="L26" i="4" s="1"/>
  <c r="Y105" i="6"/>
  <c r="Y115" i="6" s="1"/>
  <c r="M26" i="4" s="1"/>
  <c r="L17" i="4"/>
  <c r="M17" i="4"/>
  <c r="X114" i="6"/>
  <c r="L25" i="4" s="1"/>
  <c r="X105" i="6"/>
  <c r="X115" i="6" s="1"/>
  <c r="M25" i="4" s="1"/>
  <c r="L15" i="4"/>
  <c r="M15" i="4"/>
  <c r="W114" i="6"/>
  <c r="L23" i="4" s="1"/>
  <c r="W105" i="6"/>
  <c r="W115" i="6" s="1"/>
  <c r="M23" i="4" s="1"/>
  <c r="O114" i="6"/>
  <c r="L13" i="4" s="1"/>
  <c r="O105" i="6"/>
  <c r="O115" i="6" s="1"/>
  <c r="M13" i="4" s="1"/>
  <c r="U114" i="6"/>
  <c r="L22" i="4" s="1"/>
  <c r="U105" i="6"/>
  <c r="U115" i="6" s="1"/>
  <c r="M22" i="4" s="1"/>
  <c r="H41" i="4" l="1"/>
  <c r="M41" i="4"/>
  <c r="L41" i="4"/>
  <c r="K41" i="4"/>
  <c r="K52" i="4" l="1"/>
  <c r="M52" i="4"/>
</calcChain>
</file>

<file path=xl/sharedStrings.xml><?xml version="1.0" encoding="utf-8"?>
<sst xmlns="http://schemas.openxmlformats.org/spreadsheetml/2006/main" count="733" uniqueCount="367">
  <si>
    <t>10311 Cement Plant Road</t>
  </si>
  <si>
    <t>Brooksville, Florida 34601</t>
  </si>
  <si>
    <t>Emission Unit 001 - Biomass Handling, Storage and Processing</t>
  </si>
  <si>
    <t>Emission Unit 003 - Ash and Handling, Storage and Shipment</t>
  </si>
  <si>
    <t>Emission Unit 004 - IDSIS Sorbent Handling and Storage</t>
  </si>
  <si>
    <t>EU-001</t>
  </si>
  <si>
    <t>EP-001</t>
  </si>
  <si>
    <t>EP-003</t>
  </si>
  <si>
    <t>EP-004</t>
  </si>
  <si>
    <t>EP-005</t>
  </si>
  <si>
    <t>EP-006</t>
  </si>
  <si>
    <t>EP-007</t>
  </si>
  <si>
    <t>EP-010</t>
  </si>
  <si>
    <t>Main Pile (Drop Point from Stacker Belt to Main Pile)</t>
  </si>
  <si>
    <t>EP-009</t>
  </si>
  <si>
    <t>EU-002</t>
  </si>
  <si>
    <t>EP-018</t>
  </si>
  <si>
    <t>Woody Biomass-Fueled Grate-Suspension Boiler</t>
  </si>
  <si>
    <t>EU-003</t>
  </si>
  <si>
    <t>EU-004</t>
  </si>
  <si>
    <t>EP-036</t>
  </si>
  <si>
    <t xml:space="preserve">Florida Power Development, LLC </t>
  </si>
  <si>
    <t>Truck Roads - Delivery of wood on paved roads</t>
  </si>
  <si>
    <t>Source / Description</t>
  </si>
  <si>
    <t>Emission</t>
  </si>
  <si>
    <t>Point</t>
  </si>
  <si>
    <t>PM</t>
  </si>
  <si>
    <t>PM10</t>
  </si>
  <si>
    <t>PM2.5</t>
  </si>
  <si>
    <t>lb/hr</t>
  </si>
  <si>
    <t>ton/yr</t>
  </si>
  <si>
    <t>Emission Unit 002 - Woody Biomass-Fueled Grate-Suspension Boiler</t>
  </si>
  <si>
    <t>Frontend Loaders - Unpaved Roads</t>
  </si>
  <si>
    <t>fugitive</t>
  </si>
  <si>
    <t>enclosed</t>
  </si>
  <si>
    <t>Re1</t>
  </si>
  <si>
    <t>Re2</t>
  </si>
  <si>
    <t>Re3</t>
  </si>
  <si>
    <t>VE</t>
  </si>
  <si>
    <t>Limit</t>
  </si>
  <si>
    <t>%</t>
  </si>
  <si>
    <t>Re4</t>
  </si>
  <si>
    <t>Re5</t>
  </si>
  <si>
    <t>Truck unloading to four hoppers</t>
  </si>
  <si>
    <t>Hoppers to Conveyor A (enclosed and vented to Building A - baghouse)</t>
  </si>
  <si>
    <t>Building A (w baghouse) - Screen</t>
  </si>
  <si>
    <t>Building A (w baghouse) - Hogmill</t>
  </si>
  <si>
    <t xml:space="preserve">Building A - Screen Vent East </t>
  </si>
  <si>
    <t>Building A - Screen Vent West</t>
  </si>
  <si>
    <t>Stack out Operations</t>
  </si>
  <si>
    <t>So1</t>
  </si>
  <si>
    <t>So2</t>
  </si>
  <si>
    <t>So3</t>
  </si>
  <si>
    <t>So4</t>
  </si>
  <si>
    <t>So5</t>
  </si>
  <si>
    <t>So6</t>
  </si>
  <si>
    <t>So7</t>
  </si>
  <si>
    <t>So8</t>
  </si>
  <si>
    <t>So9</t>
  </si>
  <si>
    <t>So10</t>
  </si>
  <si>
    <t>Building A - baghouse for screen and hogmill</t>
  </si>
  <si>
    <t>Building A transfer point A-B (Conveyor Belt A to Conveyor Belt B)</t>
  </si>
  <si>
    <t>So11</t>
  </si>
  <si>
    <t>EP-002east</t>
  </si>
  <si>
    <t>EP-002west</t>
  </si>
  <si>
    <t>Reclaim Operations</t>
  </si>
  <si>
    <t>Truck loading to two reclaim hoppers</t>
  </si>
  <si>
    <t>EP-008south</t>
  </si>
  <si>
    <t>EP-008west</t>
  </si>
  <si>
    <t>Re6</t>
  </si>
  <si>
    <t xml:space="preserve">Building E Screen Vent South </t>
  </si>
  <si>
    <t>Building E Screen Vent West</t>
  </si>
  <si>
    <t>Conveyor Belt F transfer point (Conveyor Belt F to Conveyor Belt G)</t>
  </si>
  <si>
    <t>Conveyor Belt G transfer point (Conveyor Belt G to Conveyor Belt H)</t>
  </si>
  <si>
    <t xml:space="preserve">Building H Screen Vent North </t>
  </si>
  <si>
    <t xml:space="preserve">Building H Screen Vent West </t>
  </si>
  <si>
    <t>EP-011north</t>
  </si>
  <si>
    <t>EP-011west</t>
  </si>
  <si>
    <t>Reclaimer Belt transfer point (Reclaimer Belt to Conveyor Belt E)</t>
  </si>
  <si>
    <t>Main Pile wind erosion</t>
  </si>
  <si>
    <t>Pile C wind erosion</t>
  </si>
  <si>
    <t>Building H transfer point H-I (Conveyor Belt H to Conveyor Belt I)</t>
  </si>
  <si>
    <t xml:space="preserve">Truck Roads - </t>
  </si>
  <si>
    <t>Frontend</t>
  </si>
  <si>
    <t xml:space="preserve">Truck </t>
  </si>
  <si>
    <t xml:space="preserve">Building A </t>
  </si>
  <si>
    <t>Conveyor belt</t>
  </si>
  <si>
    <t xml:space="preserve">Main Pile </t>
  </si>
  <si>
    <t>Delivery of wood</t>
  </si>
  <si>
    <t>Loaders -</t>
  </si>
  <si>
    <t>unloading to</t>
  </si>
  <si>
    <t>Hoppers to</t>
  </si>
  <si>
    <t xml:space="preserve">(w baghouse) - </t>
  </si>
  <si>
    <t>transfer point</t>
  </si>
  <si>
    <t>B-C</t>
  </si>
  <si>
    <t>Pile C</t>
  </si>
  <si>
    <t>B-D</t>
  </si>
  <si>
    <t>Main Pile</t>
  </si>
  <si>
    <t>Wind</t>
  </si>
  <si>
    <t xml:space="preserve">Units </t>
  </si>
  <si>
    <t>on Paved Roads</t>
  </si>
  <si>
    <t>Unpaved Roads</t>
  </si>
  <si>
    <t>four hoppers</t>
  </si>
  <si>
    <t>Conveyor A</t>
  </si>
  <si>
    <t>Screen</t>
  </si>
  <si>
    <t>Hogmill</t>
  </si>
  <si>
    <t>A-B</t>
  </si>
  <si>
    <t>Drop point</t>
  </si>
  <si>
    <t>Erosion</t>
  </si>
  <si>
    <t>Parameters</t>
  </si>
  <si>
    <t>Flow Diagram ID</t>
  </si>
  <si>
    <t>SO9</t>
  </si>
  <si>
    <t>Operational Data</t>
  </si>
  <si>
    <t>Activity, hours</t>
  </si>
  <si>
    <t xml:space="preserve">Daily </t>
  </si>
  <si>
    <t>(hrs/day)</t>
  </si>
  <si>
    <t>days</t>
  </si>
  <si>
    <t>Annual</t>
  </si>
  <si>
    <t>(days/yr)</t>
  </si>
  <si>
    <t>Material Handling Data</t>
  </si>
  <si>
    <t>Material Type</t>
  </si>
  <si>
    <t>Wood chips</t>
  </si>
  <si>
    <t>Material throughput, ton/hr (design rate)</t>
  </si>
  <si>
    <t>ton/day</t>
  </si>
  <si>
    <t>Daily</t>
  </si>
  <si>
    <t>(tons/day)</t>
  </si>
  <si>
    <t>ton/y</t>
  </si>
  <si>
    <t>(tons/yr)</t>
  </si>
  <si>
    <t>Moisture content (M), %</t>
  </si>
  <si>
    <t>NA</t>
  </si>
  <si>
    <t>Number of transfers</t>
  </si>
  <si>
    <t>No.</t>
  </si>
  <si>
    <t>Miles per day of road transport</t>
  </si>
  <si>
    <t>Daily Avg = Annual Avg</t>
  </si>
  <si>
    <t>Miles per truck round trip</t>
  </si>
  <si>
    <t>Number of truck trips</t>
  </si>
  <si>
    <t>Storage Pile Data</t>
  </si>
  <si>
    <t>Pile Description (Shape)</t>
  </si>
  <si>
    <t>circular</t>
  </si>
  <si>
    <t>Average Pile Height (ft)</t>
  </si>
  <si>
    <t>Pile Diamter (ft)</t>
  </si>
  <si>
    <r>
      <t>Size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</si>
  <si>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Size (acres)</t>
  </si>
  <si>
    <t xml:space="preserve">General / Site Characteristics </t>
  </si>
  <si>
    <t>Mean wind speed, mph</t>
  </si>
  <si>
    <t>mph</t>
  </si>
  <si>
    <t>Particle size multiplier, PM (k)</t>
  </si>
  <si>
    <r>
      <t>Particle size multiplier, 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(k)</t>
    </r>
  </si>
  <si>
    <r>
      <t>Particle size multiplier,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(k)</t>
    </r>
  </si>
  <si>
    <t>Days of Precipitation greater than or</t>
  </si>
  <si>
    <t>Short term</t>
  </si>
  <si>
    <t>equal to 0.01 inch (p)</t>
  </si>
  <si>
    <t>Time (%) that unobstructed wind speed</t>
  </si>
  <si>
    <t>Short Term</t>
  </si>
  <si>
    <t>exceeds 5.4 m/s at mean pile height (f)</t>
  </si>
  <si>
    <t>Silt content (s), %</t>
  </si>
  <si>
    <t>Emission Control Data</t>
  </si>
  <si>
    <t>Open pile with</t>
  </si>
  <si>
    <t>Emission Control Method</t>
  </si>
  <si>
    <t>Water Sprays</t>
  </si>
  <si>
    <t>Low Drop Point</t>
  </si>
  <si>
    <t>baghouse</t>
  </si>
  <si>
    <t>water sprays</t>
  </si>
  <si>
    <t>Emission Control Removal Efficiency, %</t>
  </si>
  <si>
    <t>Emissions Factor Equations</t>
  </si>
  <si>
    <r>
      <t>Transfer Operations (EPA AP-42 Chapter 13.2.4, dated 11/06)</t>
    </r>
    <r>
      <rPr>
        <i/>
        <u/>
        <vertAlign val="superscript"/>
        <sz val="11"/>
        <color theme="1"/>
        <rFont val="Calibri"/>
        <family val="2"/>
        <scheme val="minor"/>
      </rPr>
      <t>a</t>
    </r>
  </si>
  <si>
    <t>Uncontrolled EF (UEF) Equation</t>
  </si>
  <si>
    <r>
      <t>UEF (lb/ton) = [k x (0.0032) x (U / 5)</t>
    </r>
    <r>
      <rPr>
        <vertAlign val="superscript"/>
        <sz val="11"/>
        <color theme="1"/>
        <rFont val="Calibri"/>
        <family val="2"/>
        <scheme val="minor"/>
      </rPr>
      <t>1.3</t>
    </r>
    <r>
      <rPr>
        <sz val="11"/>
        <color theme="1"/>
        <rFont val="Calibri"/>
        <family val="2"/>
        <scheme val="minor"/>
      </rPr>
      <t>]/(M / 2)</t>
    </r>
    <r>
      <rPr>
        <vertAlign val="superscript"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>]</t>
    </r>
  </si>
  <si>
    <t>(lb/ton)</t>
  </si>
  <si>
    <r>
      <t>where k = 0.74 (&lt;30</t>
    </r>
    <r>
      <rPr>
        <sz val="11"/>
        <color theme="1"/>
        <rFont val="Calibri"/>
        <family val="2"/>
      </rPr>
      <t>µm); k = 0.35 (&lt;10µm); k = 0.53 (&lt;2.5µm)</t>
    </r>
  </si>
  <si>
    <t>U = mean wind speed (mph); M = material moisture content (%)</t>
  </si>
  <si>
    <t>Controlled EF (CEF) Equation</t>
  </si>
  <si>
    <t>CEF (lb/ton) = UEF (lb/ton) x [100% - Removal Efficiency (%)]</t>
  </si>
  <si>
    <r>
      <t>Unpaved Roads (EPA AP-42 Chapter 13.2.2, dated 11/06)</t>
    </r>
    <r>
      <rPr>
        <i/>
        <u/>
        <vertAlign val="superscript"/>
        <sz val="11"/>
        <color theme="1"/>
        <rFont val="Calibri"/>
        <family val="2"/>
        <scheme val="minor"/>
      </rPr>
      <t>a</t>
    </r>
  </si>
  <si>
    <r>
      <t>UEF (lb/mile) = k x (s/12)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x (w/3)</t>
    </r>
    <r>
      <rPr>
        <vertAlign val="superscript"/>
        <sz val="11"/>
        <color theme="1"/>
        <rFont val="Calibri"/>
        <family val="2"/>
        <scheme val="minor"/>
      </rPr>
      <t>b</t>
    </r>
  </si>
  <si>
    <t>(lb/mile)</t>
  </si>
  <si>
    <t>where a = 0.7 and b = 0.45, k = 4.9 for PM</t>
  </si>
  <si>
    <r>
      <t>where a = 0.9 and b = 0.45, k = 1.5 for PM</t>
    </r>
    <r>
      <rPr>
        <vertAlign val="subscript"/>
        <sz val="11"/>
        <color theme="1"/>
        <rFont val="Calibri"/>
        <family val="2"/>
        <scheme val="minor"/>
      </rPr>
      <t>10</t>
    </r>
  </si>
  <si>
    <r>
      <t>where a = 0.9 and b = 0.45, k = 0.15 for PM</t>
    </r>
    <r>
      <rPr>
        <vertAlign val="subscript"/>
        <sz val="11"/>
        <color theme="1"/>
        <rFont val="Calibri"/>
        <family val="2"/>
        <scheme val="minor"/>
      </rPr>
      <t>2.5</t>
    </r>
  </si>
  <si>
    <t>s = surface material silt content (%)</t>
  </si>
  <si>
    <t>w = mean vehicle weight = 25 tons on average</t>
  </si>
  <si>
    <t>CEF (lb/mile) = k x (s/12)a x (w/3)b x [(365-P)/365] x [100% - Removal efficency (%)]</t>
  </si>
  <si>
    <t>Accounting for rainfall using [(365-P)/365]</t>
  </si>
  <si>
    <t>Where P = number of precipation days &gt;0.1 inch</t>
  </si>
  <si>
    <r>
      <t>Paved Roads (EPA AP-42 Chapter 13.2.1, dated 1/11)</t>
    </r>
    <r>
      <rPr>
        <i/>
        <u/>
        <vertAlign val="superscript"/>
        <sz val="11"/>
        <color theme="1"/>
        <rFont val="Calibri"/>
        <family val="2"/>
        <scheme val="minor"/>
      </rPr>
      <t>a</t>
    </r>
  </si>
  <si>
    <r>
      <t>UEF (lb/mile) = [k x (sl)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x (w)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]</t>
    </r>
  </si>
  <si>
    <t>where a = 0.91 and b = 1.02</t>
  </si>
  <si>
    <t>where k = 0.011 for PM; k = 0.0022 for PM10; k = 0.00054 for PM2.5</t>
  </si>
  <si>
    <t>sl = road surface silt loading (%) = 1,  based on engineering judgment</t>
  </si>
  <si>
    <t>w = average weight of truck traveling the road</t>
  </si>
  <si>
    <t>CEF (lb/mile) = [k x (sl)a x (w)b] x (1-P/(4N)) x [100% - Removal Efficiency (%)]</t>
  </si>
  <si>
    <t>N = number of days in the averaging period (365 for annual)</t>
  </si>
  <si>
    <t>Accounting for rainfall using (1-P/(4 x 365))</t>
  </si>
  <si>
    <t>Where P = number of precipation days &gt;0.01 inch,</t>
  </si>
  <si>
    <t>therefore control = (1-61/(4 x 365)) = 0.958</t>
  </si>
  <si>
    <r>
      <t>Wind Erosion (EPA AP-42 Chapter 13.2.5, dated 11/06, for k factors)</t>
    </r>
    <r>
      <rPr>
        <i/>
        <u/>
        <vertAlign val="superscript"/>
        <sz val="11"/>
        <color theme="1"/>
        <rFont val="Calibri"/>
        <family val="2"/>
        <scheme val="minor"/>
      </rPr>
      <t>b</t>
    </r>
  </si>
  <si>
    <t>UEF (lb/day/acre) = k x 1.7 x (s/1.5) x ((365 - p)/235) x (f/15)</t>
  </si>
  <si>
    <t>(lb/day/acre)</t>
  </si>
  <si>
    <t>where k = 1.0 (&lt;30µm); k = 0.5 (&lt;10µm); k = 0.075 (&lt;2.5µm)</t>
  </si>
  <si>
    <t>Controlled (Final) EF (CEF) Equation</t>
  </si>
  <si>
    <t>CEF (lb/day/acre) = UEF (lb/day/acre) x (100% Removal Efficiency (%))</t>
  </si>
  <si>
    <t>Calculated PM Emissions Factor (EF)</t>
  </si>
  <si>
    <t>Uncontrolled EF</t>
  </si>
  <si>
    <t>Controlled EF</t>
  </si>
  <si>
    <r>
      <t>Calculated PM</t>
    </r>
    <r>
      <rPr>
        <b/>
        <vertAlign val="subscript"/>
        <sz val="11"/>
        <color theme="1"/>
        <rFont val="Calibri"/>
        <family val="2"/>
        <scheme val="minor"/>
      </rPr>
      <t xml:space="preserve">10 </t>
    </r>
    <r>
      <rPr>
        <b/>
        <sz val="11"/>
        <color theme="1"/>
        <rFont val="Calibri"/>
        <family val="2"/>
        <scheme val="minor"/>
      </rPr>
      <t>Emissions Factor (EF)</t>
    </r>
  </si>
  <si>
    <t>Uncontrolled EF, lb/ton</t>
  </si>
  <si>
    <t>Controlled EF, lb/ton</t>
  </si>
  <si>
    <r>
      <t>Calculated 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 xml:space="preserve"> Emissions Factor (EF)</t>
    </r>
  </si>
  <si>
    <t>Estimated Emission Rate (CER)</t>
  </si>
  <si>
    <t>lb/hr (daily basis)</t>
  </si>
  <si>
    <t>TPY</t>
  </si>
  <si>
    <r>
      <t>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</si>
  <si>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</si>
  <si>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t>USEPA, 2006; AP-42, Section 13.2.4 for Aggregate Handling and Storage Piles. Section 13.2.1.3 for Paved Roads. Section 13.2.2 for Unpaved Roads. USEPA, 1993; Emission Factor Documentation for AP-42, Section 13.2.1 Paved Roads.</t>
  </si>
  <si>
    <t>b</t>
  </si>
  <si>
    <t>USEPA 1992 (Fugitive Dust Background and Technical Information Document for Best Available Control Measures, Section 2.3.1.3.3, Wind Emissions from Continuously Active Piles). USEPA, 2006 13.2.5 for k factors.</t>
  </si>
  <si>
    <t>Reclaimer Belt to belt E</t>
  </si>
  <si>
    <t>Truck loading to</t>
  </si>
  <si>
    <t>Building E, Conveyor belt E-F</t>
  </si>
  <si>
    <t>Conveyor Belt F-G</t>
  </si>
  <si>
    <t>Conveyor Belt G-H</t>
  </si>
  <si>
    <t>Building H, Conveyor H-I</t>
  </si>
  <si>
    <t>two reclaim hoppers</t>
  </si>
  <si>
    <t>Enclosed</t>
  </si>
  <si>
    <t>low drop point</t>
  </si>
  <si>
    <t>sl = road surface silt loading (%) = 1 based on Golder 2001 Port Transportation Study</t>
  </si>
  <si>
    <t>Operation Scenario</t>
  </si>
  <si>
    <t>Data</t>
  </si>
  <si>
    <t>Units</t>
  </si>
  <si>
    <t>Hours of Operation:</t>
  </si>
  <si>
    <t>hours per day (hrs/day)</t>
  </si>
  <si>
    <r>
      <t>Stackout Operations</t>
    </r>
    <r>
      <rPr>
        <b/>
        <u/>
        <vertAlign val="superscript"/>
        <sz val="11"/>
        <color theme="1"/>
        <rFont val="Calibri"/>
        <family val="2"/>
        <scheme val="minor"/>
      </rPr>
      <t>a</t>
    </r>
  </si>
  <si>
    <t>days per year (days/yr)</t>
  </si>
  <si>
    <t>hours per year (hrs/yr)</t>
  </si>
  <si>
    <t>Wood throughput rates:</t>
  </si>
  <si>
    <t>Hopper 1 thru 4 (tons per hr - tons/hr)*</t>
  </si>
  <si>
    <t>tons per day (tons/day)</t>
  </si>
  <si>
    <t>tons per year (TPY)</t>
  </si>
  <si>
    <t>Fuel Truck Delivery</t>
  </si>
  <si>
    <t>Truck Traffic (delivering fuel):</t>
  </si>
  <si>
    <t>tons per truck unloaded</t>
  </si>
  <si>
    <t>tons per truck loaded</t>
  </si>
  <si>
    <t>average weight (ton) of truck</t>
  </si>
  <si>
    <t>Number of trucks per day</t>
  </si>
  <si>
    <t>Number of trucks per year</t>
  </si>
  <si>
    <t>feet round trip per truck</t>
  </si>
  <si>
    <t>miles round trip per truck</t>
  </si>
  <si>
    <t>8,76</t>
  </si>
  <si>
    <t>hrs/day</t>
  </si>
  <si>
    <t>days/yr</t>
  </si>
  <si>
    <t>hrs/yr</t>
  </si>
  <si>
    <t>Heat Input (MMBtu/hr)</t>
  </si>
  <si>
    <t>% Moisture</t>
  </si>
  <si>
    <t>Btu/lb</t>
  </si>
  <si>
    <t>pounds per hr (lb/hr)</t>
  </si>
  <si>
    <t>tons/hr</t>
  </si>
  <si>
    <t>tons/day</t>
  </si>
  <si>
    <t>Lime Truck Delivery</t>
  </si>
  <si>
    <t>Lime Delivery:</t>
  </si>
  <si>
    <t>truck per week</t>
  </si>
  <si>
    <t>ton of lime per truck</t>
  </si>
  <si>
    <t>ton of lime per day</t>
  </si>
  <si>
    <t>trucks per day</t>
  </si>
  <si>
    <t>ft round trip (entrance to lime silo) per truck</t>
  </si>
  <si>
    <t>miles round trip (entrance to lime silo) per truck</t>
  </si>
  <si>
    <t>miles per day</t>
  </si>
  <si>
    <t>Lime Silo Unloading:</t>
  </si>
  <si>
    <t>tons</t>
  </si>
  <si>
    <t>tons per silo - based on 25 tons truck load</t>
  </si>
  <si>
    <t>per silo (unloading events)</t>
  </si>
  <si>
    <t>min per event (estimated unloading time)</t>
  </si>
  <si>
    <t>hrs/yr (total annual loading time)</t>
  </si>
  <si>
    <t>Wood Pile Management Estimation</t>
  </si>
  <si>
    <t>Area of pile:</t>
  </si>
  <si>
    <r>
      <t>square foot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</si>
  <si>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Pile diameter:</t>
  </si>
  <si>
    <t>feet (ft)</t>
  </si>
  <si>
    <r>
      <t>Front end loader trip length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:</t>
    </r>
  </si>
  <si>
    <t>ft traveled per front end loader</t>
  </si>
  <si>
    <t>miles traveled per front end loader</t>
  </si>
  <si>
    <t>Daily average:</t>
  </si>
  <si>
    <t>miles per day round trip</t>
  </si>
  <si>
    <t>Annual average:</t>
  </si>
  <si>
    <t>miles per year</t>
  </si>
  <si>
    <t>Material throughput:</t>
  </si>
  <si>
    <t>tons/hr (design)</t>
  </si>
  <si>
    <r>
      <t>Front end loader capacity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:</t>
    </r>
  </si>
  <si>
    <t>lbs operating weight</t>
  </si>
  <si>
    <r>
      <t>cuyards (yd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</si>
  <si>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cubic feet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</si>
  <si>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tons per scoop</t>
  </si>
  <si>
    <t>trips per hour</t>
  </si>
  <si>
    <t>trips per day</t>
  </si>
  <si>
    <t>Front end loader trips:</t>
  </si>
  <si>
    <t>Notes:</t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</si>
  <si>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Based on a 7 day per week operational schedule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</si>
  <si>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Assumed that front end loaders will move 1/2 of the perimeter of the circular storage pile (perimeter = pi x 2 x r)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</si>
  <si>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Front end loader's capacity based on CAT 994F Wheeled Loader.</t>
    </r>
  </si>
  <si>
    <t>So13</t>
  </si>
  <si>
    <t>Ash Silo/bin vent 036</t>
  </si>
  <si>
    <t>Emission Unit 005 - Emergency Equipment</t>
  </si>
  <si>
    <t>Emerg500gen</t>
  </si>
  <si>
    <t>Truck Roads - Delivery of lime on paved roads</t>
  </si>
  <si>
    <t>a</t>
  </si>
  <si>
    <t xml:space="preserve">     use engineering judgment 168 truck/hr is maximum.</t>
  </si>
  <si>
    <t>Air Flow</t>
  </si>
  <si>
    <t>Stack Height</t>
  </si>
  <si>
    <t>Diameter</t>
  </si>
  <si>
    <t>Temperature</t>
  </si>
  <si>
    <t>Controlled Emissions</t>
  </si>
  <si>
    <t>acfm</t>
  </si>
  <si>
    <t>ft</t>
  </si>
  <si>
    <t>deg F</t>
  </si>
  <si>
    <t>grain/scf</t>
  </si>
  <si>
    <t>Truck Delivery of Lime on Paved Roads to Silo</t>
  </si>
  <si>
    <t>Lime</t>
  </si>
  <si>
    <t>N/A</t>
  </si>
  <si>
    <t>EP-037</t>
  </si>
  <si>
    <t>Sorbent Screening System 037 (aka Limestone Screening System with Baghouse, EU037 from 0530021-021-AV)</t>
  </si>
  <si>
    <t>Conveyor A drop point to Screen</t>
  </si>
  <si>
    <t>Screen drop point to Hogmill</t>
  </si>
  <si>
    <t>So12</t>
  </si>
  <si>
    <t>So14</t>
  </si>
  <si>
    <t>So15</t>
  </si>
  <si>
    <t xml:space="preserve">Screen to </t>
  </si>
  <si>
    <t>Emission Unit</t>
  </si>
  <si>
    <t>PM10 = 0.0016/0.0099 PM</t>
  </si>
  <si>
    <t>PM2.5 = 0.0006/0.0099 PM</t>
  </si>
  <si>
    <t>*control for PM10 and PM2.5 relative to PM based on AP-42, Table 11.19.2-4. EF for pulverized mineral operations. (SCC 3-05-038-13) PM =0.0099, PM10 =0.0016, PM2.5=0.0006</t>
  </si>
  <si>
    <t>PM/PM10/PM2.5 Factor*</t>
  </si>
  <si>
    <t>PM Emission rate based on 0530021-021-AV</t>
  </si>
  <si>
    <t xml:space="preserve">* based on 2 x the max fuel firing in boiler or 6.7 truck/hr. Unloading at higher rate is possible, 30 minutes per truck= 8 truck/hr (200 ton/hr). </t>
  </si>
  <si>
    <t>Facility Wide Totals</t>
  </si>
  <si>
    <t>10/20%</t>
  </si>
  <si>
    <t xml:space="preserve">Note So4 to So8 emit thru baghouse, EP-001, 5%
</t>
  </si>
  <si>
    <t xml:space="preserve">Note So9 emits thru both EP-002east and west 10/20%
</t>
  </si>
  <si>
    <t xml:space="preserve">Note Re3emits  thru both EP-008south and west 10/20%
</t>
  </si>
  <si>
    <t xml:space="preserve">Note Re6 emits thru both EP-011 north and west 10/20%
</t>
  </si>
  <si>
    <t>Emission Source*</t>
  </si>
  <si>
    <t>* Emission source ID includes “So” for stack out operations and “Re” for Reclaim operations. IDs are used in Figure 2a-d to identify location of each emission source</t>
  </si>
  <si>
    <t>% **</t>
  </si>
  <si>
    <t xml:space="preserve">** VE limits are specified in 0530380-002-AV permit, baghouses 5%, all fugitive sources 10% with one 6-min block per hour up to 20%. See permit conditions A.6 and A.7. subject to general FDEP VE limit of 20% (cite rule). </t>
  </si>
  <si>
    <t>Emission points “EP” identify points to be VE tested. Exempt locations are not required to be VE tested and only subject to general FDEP VE limit of 20% (cite rule).</t>
  </si>
  <si>
    <t>not required</t>
  </si>
  <si>
    <t>500 kw emergency generator (610 hp)</t>
  </si>
  <si>
    <t>EU-005***</t>
  </si>
  <si>
    <t>*** PM emissions based on AP-42, Table 3.3-1, all PM &lt; 1 um, 0.0022 lb/hp-hr.</t>
  </si>
  <si>
    <t>EU001 Totals</t>
  </si>
  <si>
    <t>Table 1: Emission Unit Description and Regulated Emission Points</t>
  </si>
  <si>
    <t>Table 2: EU001 Material Handling Operations Emission Estimates (Stack Out)</t>
  </si>
  <si>
    <t>Table 3: EU001 Material Handling Operations Emission Estimates (Reclaim)</t>
  </si>
  <si>
    <t>Table 4: Material Handling Project Data</t>
  </si>
  <si>
    <t>Table 5: EU003 Ash and Handling, Storage and Shipment</t>
  </si>
  <si>
    <t>hours of allowed operation</t>
  </si>
  <si>
    <t>hr/yr</t>
  </si>
  <si>
    <t>0530380-002-AV Resubmittal March 2015</t>
  </si>
  <si>
    <t>Conveyor B-C Transfer Point (Conveyor B to Conveyor C)</t>
  </si>
  <si>
    <t>Pile C (Drop Point From Conveyor C to Pile C)</t>
  </si>
  <si>
    <t>Conveyor B-D  Transfer Point (Conveyor Belt B to Conveyor Belt D)</t>
  </si>
  <si>
    <t>Re7</t>
  </si>
  <si>
    <t>Building E transfer point E-F (Conveyor Belt E to Conveyor Belt F) includes disc screen</t>
  </si>
  <si>
    <t>*</t>
  </si>
  <si>
    <t>Reclaim Hoppers to Conveyor E (vented Building E)</t>
  </si>
  <si>
    <t>Reclaim Hoppers to Conveyor E</t>
  </si>
  <si>
    <t>Re4 *</t>
  </si>
  <si>
    <t>Emissions from Re4  include Conveyor E-F transfer point and disc screening with a screen-to-conveyor E transfer point.  Disc screen of wood particles negligible emissions and vented to transfer point. In summary, includes two transfer points.</t>
  </si>
  <si>
    <t>Sorbent Silo/bin (EU004 data from 0530380-001-AC permit application)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</si>
</sst>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"/>
    <numFmt numFmtId="167" formatCode="0.00000"/>
    <numFmt numFmtId="168" formatCode="0.00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7">
    <xf numFmtId="0" fontId="0" fillId="0" borderId="0" xfId="0"/>
    <xf numFmtId="0" fontId="3" fillId="0" borderId="0" xfId="2"/>
    <xf numFmtId="0" fontId="1" fillId="0" borderId="20" xfId="1" applyFont="1" applyBorder="1" applyAlignment="1">
      <alignment horizontal="center"/>
    </xf>
    <xf numFmtId="0" fontId="1" fillId="0" borderId="22" xfId="1" quotePrefix="1" applyFont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3" xfId="1" quotePrefix="1" applyFont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1" fillId="0" borderId="21" xfId="1" applyFont="1" applyBorder="1" applyAlignment="1">
      <alignment horizontal="left"/>
    </xf>
    <xf numFmtId="0" fontId="1" fillId="0" borderId="14" xfId="1" applyFont="1" applyFill="1" applyBorder="1" applyAlignment="1">
      <alignment horizontal="left" wrapText="1"/>
    </xf>
    <xf numFmtId="0" fontId="1" fillId="0" borderId="21" xfId="1" applyFont="1" applyBorder="1" applyAlignment="1">
      <alignment horizontal="left" wrapText="1"/>
    </xf>
    <xf numFmtId="0" fontId="5" fillId="0" borderId="23" xfId="1" quotePrefix="1" applyFont="1" applyFill="1" applyBorder="1" applyAlignment="1">
      <alignment horizontal="center"/>
    </xf>
    <xf numFmtId="0" fontId="1" fillId="0" borderId="20" xfId="1" quotePrefix="1" applyFont="1" applyBorder="1" applyAlignment="1">
      <alignment horizontal="center"/>
    </xf>
    <xf numFmtId="0" fontId="1" fillId="0" borderId="14" xfId="1" quotePrefix="1" applyFont="1" applyFill="1" applyBorder="1" applyAlignment="1">
      <alignment horizontal="center" wrapText="1"/>
    </xf>
    <xf numFmtId="0" fontId="5" fillId="3" borderId="20" xfId="1" applyFont="1" applyFill="1" applyBorder="1" applyAlignment="1">
      <alignment horizontal="center"/>
    </xf>
    <xf numFmtId="0" fontId="5" fillId="3" borderId="23" xfId="1" quotePrefix="1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8" fillId="0" borderId="28" xfId="0" applyFont="1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0" borderId="31" xfId="0" applyBorder="1"/>
    <xf numFmtId="0" fontId="0" fillId="0" borderId="15" xfId="0" applyBorder="1"/>
    <xf numFmtId="0" fontId="8" fillId="0" borderId="1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11" fillId="0" borderId="31" xfId="0" applyFont="1" applyBorder="1"/>
    <xf numFmtId="166" fontId="0" fillId="0" borderId="0" xfId="0" applyNumberForma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0" fontId="0" fillId="0" borderId="32" xfId="0" applyBorder="1"/>
    <xf numFmtId="0" fontId="0" fillId="0" borderId="15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center" wrapText="1"/>
    </xf>
    <xf numFmtId="0" fontId="0" fillId="0" borderId="26" xfId="0" applyFill="1" applyBorder="1" applyAlignment="1">
      <alignment horizontal="center"/>
    </xf>
    <xf numFmtId="11" fontId="0" fillId="0" borderId="2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6" xfId="0" applyBorder="1"/>
    <xf numFmtId="0" fontId="15" fillId="0" borderId="31" xfId="0" applyFont="1" applyBorder="1"/>
    <xf numFmtId="0" fontId="0" fillId="0" borderId="31" xfId="0" applyBorder="1" applyAlignment="1">
      <alignment horizontal="right"/>
    </xf>
    <xf numFmtId="0" fontId="0" fillId="0" borderId="23" xfId="0" applyBorder="1"/>
    <xf numFmtId="0" fontId="8" fillId="0" borderId="33" xfId="0" applyFont="1" applyBorder="1"/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4" borderId="14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16" fontId="2" fillId="4" borderId="10" xfId="1" applyNumberFormat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16" fontId="2" fillId="4" borderId="12" xfId="1" applyNumberFormat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16" fontId="2" fillId="4" borderId="14" xfId="1" applyNumberFormat="1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2" fillId="4" borderId="27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4" borderId="28" xfId="0" applyFont="1" applyFill="1" applyBorder="1"/>
    <xf numFmtId="0" fontId="0" fillId="4" borderId="29" xfId="0" applyFill="1" applyBorder="1"/>
    <xf numFmtId="0" fontId="0" fillId="4" borderId="25" xfId="0" applyFill="1" applyBorder="1" applyAlignment="1">
      <alignment horizontal="center"/>
    </xf>
    <xf numFmtId="0" fontId="0" fillId="4" borderId="31" xfId="0" applyFill="1" applyBorder="1"/>
    <xf numFmtId="0" fontId="0" fillId="4" borderId="0" xfId="0" applyFill="1" applyBorder="1"/>
    <xf numFmtId="0" fontId="0" fillId="4" borderId="12" xfId="0" applyFill="1" applyBorder="1" applyAlignment="1">
      <alignment horizontal="center"/>
    </xf>
    <xf numFmtId="0" fontId="8" fillId="4" borderId="31" xfId="0" applyFont="1" applyFill="1" applyBorder="1"/>
    <xf numFmtId="0" fontId="0" fillId="4" borderId="15" xfId="0" applyFill="1" applyBorder="1"/>
    <xf numFmtId="0" fontId="0" fillId="4" borderId="14" xfId="0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22" xfId="1" quotePrefix="1" applyFont="1" applyBorder="1" applyAlignment="1">
      <alignment horizontal="center" vertical="center"/>
    </xf>
    <xf numFmtId="0" fontId="1" fillId="0" borderId="20" xfId="1" quotePrefix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left" vertical="center" wrapText="1"/>
    </xf>
    <xf numFmtId="0" fontId="1" fillId="4" borderId="14" xfId="1" applyFont="1" applyFill="1" applyBorder="1" applyAlignment="1">
      <alignment horizontal="center" vertical="center"/>
    </xf>
    <xf numFmtId="0" fontId="3" fillId="0" borderId="0" xfId="2" applyAlignment="1">
      <alignment vertical="center"/>
    </xf>
    <xf numFmtId="165" fontId="0" fillId="4" borderId="12" xfId="0" applyNumberFormat="1" applyFill="1" applyBorder="1" applyAlignment="1">
      <alignment horizontal="center"/>
    </xf>
    <xf numFmtId="165" fontId="0" fillId="4" borderId="14" xfId="0" applyNumberFormat="1" applyFill="1" applyBorder="1" applyAlignment="1">
      <alignment horizontal="center"/>
    </xf>
    <xf numFmtId="165" fontId="1" fillId="4" borderId="14" xfId="1" quotePrefix="1" applyNumberFormat="1" applyFont="1" applyFill="1" applyBorder="1" applyAlignment="1">
      <alignment horizontal="center"/>
    </xf>
    <xf numFmtId="165" fontId="1" fillId="4" borderId="21" xfId="1" quotePrefix="1" applyNumberFormat="1" applyFont="1" applyFill="1" applyBorder="1" applyAlignment="1">
      <alignment horizontal="center"/>
    </xf>
    <xf numFmtId="165" fontId="1" fillId="4" borderId="21" xfId="1" applyNumberFormat="1" applyFont="1" applyFill="1" applyBorder="1" applyAlignment="1">
      <alignment horizontal="center"/>
    </xf>
    <xf numFmtId="165" fontId="1" fillId="4" borderId="19" xfId="1" quotePrefix="1" applyNumberFormat="1" applyFont="1" applyFill="1" applyBorder="1" applyAlignment="1">
      <alignment horizontal="center"/>
    </xf>
    <xf numFmtId="165" fontId="1" fillId="4" borderId="14" xfId="1" quotePrefix="1" applyNumberFormat="1" applyFont="1" applyFill="1" applyBorder="1" applyAlignment="1">
      <alignment horizontal="center" vertical="center"/>
    </xf>
    <xf numFmtId="165" fontId="1" fillId="4" borderId="21" xfId="1" quotePrefix="1" applyNumberFormat="1" applyFont="1" applyFill="1" applyBorder="1" applyAlignment="1">
      <alignment horizontal="center" vertical="center"/>
    </xf>
    <xf numFmtId="165" fontId="1" fillId="4" borderId="21" xfId="1" applyNumberFormat="1" applyFont="1" applyFill="1" applyBorder="1" applyAlignment="1">
      <alignment horizontal="center" vertical="center"/>
    </xf>
    <xf numFmtId="165" fontId="1" fillId="4" borderId="19" xfId="1" quotePrefix="1" applyNumberFormat="1" applyFont="1" applyFill="1" applyBorder="1" applyAlignment="1">
      <alignment horizontal="center" vertical="center"/>
    </xf>
    <xf numFmtId="0" fontId="1" fillId="0" borderId="21" xfId="1" applyFont="1" applyBorder="1" applyAlignment="1">
      <alignment horizontal="left" vertical="center"/>
    </xf>
    <xf numFmtId="3" fontId="0" fillId="0" borderId="0" xfId="0" applyNumberForma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8" fillId="4" borderId="0" xfId="0" applyFont="1" applyFill="1"/>
    <xf numFmtId="2" fontId="0" fillId="4" borderId="12" xfId="0" applyNumberFormat="1" applyFill="1" applyBorder="1" applyAlignment="1">
      <alignment horizontal="center"/>
    </xf>
    <xf numFmtId="0" fontId="1" fillId="4" borderId="21" xfId="1" quotePrefix="1" applyFont="1" applyFill="1" applyBorder="1" applyAlignment="1">
      <alignment horizontal="center" wrapText="1"/>
    </xf>
    <xf numFmtId="166" fontId="1" fillId="0" borderId="14" xfId="1" quotePrefix="1" applyNumberFormat="1" applyFont="1" applyFill="1" applyBorder="1" applyAlignment="1">
      <alignment horizontal="center"/>
    </xf>
    <xf numFmtId="166" fontId="1" fillId="0" borderId="21" xfId="1" applyNumberFormat="1" applyFont="1" applyFill="1" applyBorder="1" applyAlignment="1">
      <alignment horizontal="center"/>
    </xf>
    <xf numFmtId="166" fontId="1" fillId="0" borderId="19" xfId="1" quotePrefix="1" applyNumberFormat="1" applyFont="1" applyFill="1" applyBorder="1" applyAlignment="1">
      <alignment horizontal="center"/>
    </xf>
    <xf numFmtId="166" fontId="1" fillId="0" borderId="19" xfId="1" applyNumberFormat="1" applyFont="1" applyFill="1" applyBorder="1" applyAlignment="1">
      <alignment horizontal="center"/>
    </xf>
    <xf numFmtId="166" fontId="1" fillId="3" borderId="14" xfId="1" quotePrefix="1" applyNumberFormat="1" applyFont="1" applyFill="1" applyBorder="1" applyAlignment="1">
      <alignment horizontal="center"/>
    </xf>
    <xf numFmtId="166" fontId="1" fillId="3" borderId="21" xfId="1" applyNumberFormat="1" applyFont="1" applyFill="1" applyBorder="1" applyAlignment="1">
      <alignment horizontal="center"/>
    </xf>
    <xf numFmtId="166" fontId="1" fillId="3" borderId="19" xfId="1" quotePrefix="1" applyNumberFormat="1" applyFont="1" applyFill="1" applyBorder="1" applyAlignment="1">
      <alignment horizontal="center"/>
    </xf>
    <xf numFmtId="166" fontId="1" fillId="0" borderId="14" xfId="1" quotePrefix="1" applyNumberFormat="1" applyFont="1" applyBorder="1" applyAlignment="1">
      <alignment horizontal="center"/>
    </xf>
    <xf numFmtId="166" fontId="1" fillId="3" borderId="14" xfId="1" applyNumberFormat="1" applyFont="1" applyFill="1" applyBorder="1" applyAlignment="1">
      <alignment horizontal="center"/>
    </xf>
    <xf numFmtId="166" fontId="3" fillId="3" borderId="21" xfId="2" applyNumberFormat="1" applyFill="1" applyBorder="1" applyAlignment="1">
      <alignment horizontal="center"/>
    </xf>
    <xf numFmtId="166" fontId="1" fillId="0" borderId="21" xfId="1" quotePrefix="1" applyNumberFormat="1" applyFont="1" applyBorder="1" applyAlignment="1">
      <alignment horizontal="center"/>
    </xf>
    <xf numFmtId="0" fontId="17" fillId="4" borderId="31" xfId="0" applyFont="1" applyFill="1" applyBorder="1"/>
    <xf numFmtId="0" fontId="17" fillId="4" borderId="32" xfId="0" applyFont="1" applyFill="1" applyBorder="1"/>
    <xf numFmtId="16" fontId="2" fillId="4" borderId="21" xfId="1" applyNumberFormat="1" applyFont="1" applyFill="1" applyBorder="1" applyAlignment="1">
      <alignment horizontal="center" vertical="center"/>
    </xf>
    <xf numFmtId="0" fontId="19" fillId="0" borderId="31" xfId="0" applyFont="1" applyBorder="1"/>
    <xf numFmtId="0" fontId="1" fillId="4" borderId="21" xfId="1" applyFont="1" applyFill="1" applyBorder="1" applyAlignment="1">
      <alignment horizontal="center" vertical="center"/>
    </xf>
    <xf numFmtId="0" fontId="1" fillId="4" borderId="21" xfId="1" quotePrefix="1" applyNumberFormat="1" applyFont="1" applyFill="1" applyBorder="1" applyAlignment="1">
      <alignment horizontal="center" vertical="center"/>
    </xf>
    <xf numFmtId="0" fontId="2" fillId="0" borderId="0" xfId="2" applyFont="1"/>
    <xf numFmtId="0" fontId="2" fillId="4" borderId="0" xfId="2" applyFont="1" applyFill="1" applyAlignment="1">
      <alignment horizontal="right"/>
    </xf>
    <xf numFmtId="2" fontId="2" fillId="4" borderId="0" xfId="2" applyNumberFormat="1" applyFont="1" applyFill="1" applyAlignment="1">
      <alignment horizontal="center" vertical="center"/>
    </xf>
    <xf numFmtId="2" fontId="2" fillId="0" borderId="0" xfId="2" applyNumberFormat="1" applyFont="1"/>
    <xf numFmtId="0" fontId="1" fillId="0" borderId="0" xfId="2" applyFont="1"/>
    <xf numFmtId="0" fontId="2" fillId="2" borderId="17" xfId="1" quotePrefix="1" applyFont="1" applyFill="1" applyBorder="1" applyAlignment="1">
      <alignment horizontal="center" vertical="center"/>
    </xf>
    <xf numFmtId="0" fontId="2" fillId="2" borderId="18" xfId="1" quotePrefix="1" applyFont="1" applyFill="1" applyBorder="1" applyAlignment="1">
      <alignment horizontal="center" vertical="center"/>
    </xf>
    <xf numFmtId="0" fontId="2" fillId="2" borderId="20" xfId="1" quotePrefix="1" applyFont="1" applyFill="1" applyBorder="1" applyAlignment="1">
      <alignment horizontal="center" vertical="center"/>
    </xf>
    <xf numFmtId="166" fontId="1" fillId="0" borderId="34" xfId="1" quotePrefix="1" applyNumberFormat="1" applyFont="1" applyFill="1" applyBorder="1" applyAlignment="1">
      <alignment horizontal="center"/>
    </xf>
    <xf numFmtId="0" fontId="2" fillId="4" borderId="35" xfId="1" applyFont="1" applyFill="1" applyBorder="1" applyAlignment="1">
      <alignment horizontal="center" vertical="center"/>
    </xf>
    <xf numFmtId="0" fontId="1" fillId="4" borderId="0" xfId="2" applyFont="1" applyFill="1" applyBorder="1" applyAlignment="1">
      <alignment horizontal="right"/>
    </xf>
    <xf numFmtId="2" fontId="3" fillId="4" borderId="0" xfId="2" applyNumberFormat="1" applyFill="1" applyBorder="1" applyAlignment="1">
      <alignment horizontal="center" vertical="center"/>
    </xf>
    <xf numFmtId="2" fontId="3" fillId="4" borderId="5" xfId="2" applyNumberFormat="1" applyFill="1" applyBorder="1" applyAlignment="1">
      <alignment horizontal="center" vertical="center"/>
    </xf>
    <xf numFmtId="165" fontId="1" fillId="4" borderId="35" xfId="1" quotePrefix="1" applyNumberFormat="1" applyFont="1" applyFill="1" applyBorder="1" applyAlignment="1">
      <alignment horizontal="center" vertical="center"/>
    </xf>
    <xf numFmtId="0" fontId="1" fillId="0" borderId="36" xfId="1" quotePrefix="1" applyFont="1" applyBorder="1" applyAlignment="1">
      <alignment horizontal="center"/>
    </xf>
    <xf numFmtId="0" fontId="1" fillId="0" borderId="37" xfId="1" quotePrefix="1" applyFont="1" applyBorder="1" applyAlignment="1">
      <alignment horizontal="center"/>
    </xf>
    <xf numFmtId="0" fontId="1" fillId="0" borderId="37" xfId="1" applyFont="1" applyBorder="1" applyAlignment="1">
      <alignment horizontal="center"/>
    </xf>
    <xf numFmtId="0" fontId="1" fillId="0" borderId="38" xfId="1" applyFont="1" applyBorder="1" applyAlignment="1">
      <alignment horizontal="left"/>
    </xf>
    <xf numFmtId="0" fontId="1" fillId="4" borderId="39" xfId="1" applyFont="1" applyFill="1" applyBorder="1" applyAlignment="1">
      <alignment horizontal="center"/>
    </xf>
    <xf numFmtId="2" fontId="1" fillId="0" borderId="39" xfId="1" quotePrefix="1" applyNumberFormat="1" applyFont="1" applyFill="1" applyBorder="1" applyAlignment="1">
      <alignment horizontal="center" vertical="center"/>
    </xf>
    <xf numFmtId="2" fontId="1" fillId="0" borderId="38" xfId="1" quotePrefix="1" applyNumberFormat="1" applyFont="1" applyFill="1" applyBorder="1" applyAlignment="1">
      <alignment horizontal="center" vertical="center"/>
    </xf>
    <xf numFmtId="2" fontId="1" fillId="0" borderId="40" xfId="1" quotePrefix="1" applyNumberFormat="1" applyFont="1" applyFill="1" applyBorder="1" applyAlignment="1">
      <alignment horizontal="center" vertical="center"/>
    </xf>
    <xf numFmtId="2" fontId="1" fillId="4" borderId="14" xfId="1" quotePrefix="1" applyNumberFormat="1" applyFont="1" applyFill="1" applyBorder="1" applyAlignment="1">
      <alignment horizontal="center"/>
    </xf>
    <xf numFmtId="2" fontId="1" fillId="4" borderId="21" xfId="1" quotePrefix="1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3" fillId="0" borderId="0" xfId="2" applyNumberFormat="1"/>
    <xf numFmtId="0" fontId="20" fillId="0" borderId="29" xfId="0" applyFont="1" applyBorder="1" applyAlignment="1">
      <alignment horizontal="center" wrapText="1"/>
    </xf>
    <xf numFmtId="0" fontId="0" fillId="0" borderId="0" xfId="0" applyAlignment="1">
      <alignment horizontal="right"/>
    </xf>
    <xf numFmtId="2" fontId="1" fillId="4" borderId="21" xfId="1" applyNumberFormat="1" applyFont="1" applyFill="1" applyBorder="1" applyAlignment="1">
      <alignment horizontal="center"/>
    </xf>
    <xf numFmtId="2" fontId="1" fillId="4" borderId="19" xfId="1" quotePrefix="1" applyNumberFormat="1" applyFont="1" applyFill="1" applyBorder="1" applyAlignment="1">
      <alignment horizontal="center"/>
    </xf>
    <xf numFmtId="166" fontId="1" fillId="4" borderId="21" xfId="1" applyNumberFormat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 wrapText="1"/>
    </xf>
    <xf numFmtId="0" fontId="2" fillId="4" borderId="12" xfId="1" applyFont="1" applyFill="1" applyBorder="1" applyAlignment="1">
      <alignment horizontal="center" wrapText="1"/>
    </xf>
    <xf numFmtId="0" fontId="2" fillId="4" borderId="14" xfId="1" applyFont="1" applyFill="1" applyBorder="1" applyAlignment="1">
      <alignment horizontal="center" wrapText="1"/>
    </xf>
    <xf numFmtId="0" fontId="2" fillId="2" borderId="17" xfId="1" quotePrefix="1" applyFont="1" applyFill="1" applyBorder="1" applyAlignment="1">
      <alignment horizontal="center" vertical="center"/>
    </xf>
    <xf numFmtId="0" fontId="2" fillId="2" borderId="18" xfId="1" quotePrefix="1" applyFont="1" applyFill="1" applyBorder="1" applyAlignment="1">
      <alignment horizontal="center" vertical="center"/>
    </xf>
    <xf numFmtId="0" fontId="2" fillId="2" borderId="19" xfId="1" quotePrefix="1" applyFont="1" applyFill="1" applyBorder="1" applyAlignment="1">
      <alignment horizontal="center" vertical="center"/>
    </xf>
    <xf numFmtId="0" fontId="6" fillId="0" borderId="25" xfId="1" quotePrefix="1" applyFont="1" applyFill="1" applyBorder="1" applyAlignment="1">
      <alignment horizontal="center" vertical="center" textRotation="90"/>
    </xf>
    <xf numFmtId="0" fontId="6" fillId="0" borderId="12" xfId="1" quotePrefix="1" applyFont="1" applyFill="1" applyBorder="1" applyAlignment="1">
      <alignment horizontal="center" vertical="center" textRotation="90"/>
    </xf>
    <xf numFmtId="0" fontId="6" fillId="0" borderId="14" xfId="1" quotePrefix="1" applyFont="1" applyFill="1" applyBorder="1" applyAlignment="1">
      <alignment horizontal="center" vertical="center" textRotation="90"/>
    </xf>
    <xf numFmtId="0" fontId="5" fillId="4" borderId="25" xfId="1" quotePrefix="1" applyFont="1" applyFill="1" applyBorder="1" applyAlignment="1">
      <alignment horizontal="center" vertical="center" wrapText="1"/>
    </xf>
    <xf numFmtId="0" fontId="5" fillId="4" borderId="12" xfId="1" quotePrefix="1" applyFont="1" applyFill="1" applyBorder="1" applyAlignment="1">
      <alignment horizontal="center" vertical="center" wrapText="1"/>
    </xf>
    <xf numFmtId="0" fontId="5" fillId="4" borderId="14" xfId="1" quotePrefix="1" applyFont="1" applyFill="1" applyBorder="1" applyAlignment="1">
      <alignment horizontal="center" vertical="center" wrapText="1"/>
    </xf>
    <xf numFmtId="0" fontId="7" fillId="0" borderId="24" xfId="1" quotePrefix="1" applyFont="1" applyFill="1" applyBorder="1" applyAlignment="1">
      <alignment horizontal="center" vertical="center" textRotation="90"/>
    </xf>
    <xf numFmtId="0" fontId="7" fillId="0" borderId="11" xfId="1" quotePrefix="1" applyFont="1" applyFill="1" applyBorder="1" applyAlignment="1">
      <alignment horizontal="center" vertical="center" textRotation="90"/>
    </xf>
    <xf numFmtId="0" fontId="7" fillId="0" borderId="13" xfId="1" quotePrefix="1" applyFont="1" applyFill="1" applyBorder="1" applyAlignment="1">
      <alignment horizontal="center" vertical="center" textRotation="90"/>
    </xf>
    <xf numFmtId="0" fontId="1" fillId="0" borderId="25" xfId="1" quotePrefix="1" applyFont="1" applyFill="1" applyBorder="1" applyAlignment="1">
      <alignment horizontal="center" vertical="center" wrapText="1"/>
    </xf>
    <xf numFmtId="0" fontId="1" fillId="0" borderId="12" xfId="1" quotePrefix="1" applyFont="1" applyFill="1" applyBorder="1" applyAlignment="1">
      <alignment horizontal="center" vertical="center" wrapText="1"/>
    </xf>
    <xf numFmtId="0" fontId="1" fillId="0" borderId="14" xfId="1" quotePrefix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4" fontId="2" fillId="0" borderId="4" xfId="1" applyNumberFormat="1" applyFont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6" xfId="1" applyNumberFormat="1" applyFont="1" applyBorder="1" applyAlignment="1">
      <alignment horizontal="center"/>
    </xf>
    <xf numFmtId="14" fontId="2" fillId="0" borderId="7" xfId="1" applyNumberFormat="1" applyFont="1" applyBorder="1" applyAlignment="1">
      <alignment horizontal="center"/>
    </xf>
    <xf numFmtId="14" fontId="4" fillId="0" borderId="7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6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left" vertical="center"/>
    </xf>
    <xf numFmtId="0" fontId="8" fillId="4" borderId="31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 wrapText="1"/>
    </xf>
    <xf numFmtId="0" fontId="18" fillId="4" borderId="29" xfId="0" applyFont="1" applyFill="1" applyBorder="1" applyAlignment="1">
      <alignment horizontal="left" wrapText="1"/>
    </xf>
    <xf numFmtId="0" fontId="18" fillId="4" borderId="0" xfId="0" applyFont="1" applyFill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room\Projects\KA%20Stack%20Test%20Data\2009%20TEST%20DATA\307%20-%20CEMEX-FCS\307%2009%2001%20Kiln%20No2%20Initial%20Compliance%20Testing\Visible%20Emissions\Baghouse%20ve'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 Table1"/>
      <sheetName val="discript Table2"/>
      <sheetName val="EU045"/>
      <sheetName val="EU046"/>
      <sheetName val="EU047"/>
      <sheetName val="EU048"/>
      <sheetName val="EU049"/>
      <sheetName val="Eu050"/>
      <sheetName val="Eu051"/>
      <sheetName val="EU052"/>
      <sheetName val="EU053"/>
      <sheetName val="Eu054"/>
      <sheetName val="Eu55"/>
      <sheetName val="Eu056"/>
      <sheetName val="Eu057"/>
      <sheetName val="EU058"/>
      <sheetName val="EU059"/>
      <sheetName val="EU060"/>
      <sheetName val="EU061"/>
      <sheetName val="EU062"/>
      <sheetName val="EU063"/>
      <sheetName val="EU064"/>
      <sheetName val="EU065"/>
      <sheetName val="EU066"/>
      <sheetName val="EU067 "/>
      <sheetName val="EU068"/>
      <sheetName val="EU069"/>
      <sheetName val="EU07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tabSelected="1" view="pageBreakPreview" zoomScale="80" zoomScaleNormal="75" zoomScaleSheetLayoutView="80" workbookViewId="0"/>
  </sheetViews>
  <sheetFormatPr defaultRowHeight="12.75" x14ac:dyDescent="0.2"/>
  <cols>
    <col min="1" max="1" width="3.7109375" style="1" customWidth="1"/>
    <col min="2" max="2" width="11" style="1" customWidth="1"/>
    <col min="3" max="3" width="9.140625" style="1"/>
    <col min="4" max="4" width="10.140625" style="1" customWidth="1"/>
    <col min="5" max="5" width="13" style="1" customWidth="1"/>
    <col min="6" max="6" width="83.28515625" style="1" customWidth="1"/>
    <col min="7" max="7" width="17.5703125" style="1" customWidth="1"/>
    <col min="8" max="8" width="9.7109375" style="1" customWidth="1"/>
    <col min="9" max="9" width="9.5703125" style="1" customWidth="1"/>
    <col min="10" max="10" width="8.5703125" style="1" customWidth="1"/>
    <col min="11" max="13" width="9.28515625" style="1" bestFit="1" customWidth="1"/>
    <col min="14" max="259" width="9.140625" style="1"/>
    <col min="260" max="260" width="40.140625" style="1" bestFit="1" customWidth="1"/>
    <col min="261" max="261" width="10" style="1" customWidth="1"/>
    <col min="262" max="515" width="9.140625" style="1"/>
    <col min="516" max="516" width="40.140625" style="1" bestFit="1" customWidth="1"/>
    <col min="517" max="517" width="10" style="1" customWidth="1"/>
    <col min="518" max="771" width="9.140625" style="1"/>
    <col min="772" max="772" width="40.140625" style="1" bestFit="1" customWidth="1"/>
    <col min="773" max="773" width="10" style="1" customWidth="1"/>
    <col min="774" max="1027" width="9.140625" style="1"/>
    <col min="1028" max="1028" width="40.140625" style="1" bestFit="1" customWidth="1"/>
    <col min="1029" max="1029" width="10" style="1" customWidth="1"/>
    <col min="1030" max="1283" width="9.140625" style="1"/>
    <col min="1284" max="1284" width="40.140625" style="1" bestFit="1" customWidth="1"/>
    <col min="1285" max="1285" width="10" style="1" customWidth="1"/>
    <col min="1286" max="1539" width="9.140625" style="1"/>
    <col min="1540" max="1540" width="40.140625" style="1" bestFit="1" customWidth="1"/>
    <col min="1541" max="1541" width="10" style="1" customWidth="1"/>
    <col min="1542" max="1795" width="9.140625" style="1"/>
    <col min="1796" max="1796" width="40.140625" style="1" bestFit="1" customWidth="1"/>
    <col min="1797" max="1797" width="10" style="1" customWidth="1"/>
    <col min="1798" max="2051" width="9.140625" style="1"/>
    <col min="2052" max="2052" width="40.140625" style="1" bestFit="1" customWidth="1"/>
    <col min="2053" max="2053" width="10" style="1" customWidth="1"/>
    <col min="2054" max="2307" width="9.140625" style="1"/>
    <col min="2308" max="2308" width="40.140625" style="1" bestFit="1" customWidth="1"/>
    <col min="2309" max="2309" width="10" style="1" customWidth="1"/>
    <col min="2310" max="2563" width="9.140625" style="1"/>
    <col min="2564" max="2564" width="40.140625" style="1" bestFit="1" customWidth="1"/>
    <col min="2565" max="2565" width="10" style="1" customWidth="1"/>
    <col min="2566" max="2819" width="9.140625" style="1"/>
    <col min="2820" max="2820" width="40.140625" style="1" bestFit="1" customWidth="1"/>
    <col min="2821" max="2821" width="10" style="1" customWidth="1"/>
    <col min="2822" max="3075" width="9.140625" style="1"/>
    <col min="3076" max="3076" width="40.140625" style="1" bestFit="1" customWidth="1"/>
    <col min="3077" max="3077" width="10" style="1" customWidth="1"/>
    <col min="3078" max="3331" width="9.140625" style="1"/>
    <col min="3332" max="3332" width="40.140625" style="1" bestFit="1" customWidth="1"/>
    <col min="3333" max="3333" width="10" style="1" customWidth="1"/>
    <col min="3334" max="3587" width="9.140625" style="1"/>
    <col min="3588" max="3588" width="40.140625" style="1" bestFit="1" customWidth="1"/>
    <col min="3589" max="3589" width="10" style="1" customWidth="1"/>
    <col min="3590" max="3843" width="9.140625" style="1"/>
    <col min="3844" max="3844" width="40.140625" style="1" bestFit="1" customWidth="1"/>
    <col min="3845" max="3845" width="10" style="1" customWidth="1"/>
    <col min="3846" max="4099" width="9.140625" style="1"/>
    <col min="4100" max="4100" width="40.140625" style="1" bestFit="1" customWidth="1"/>
    <col min="4101" max="4101" width="10" style="1" customWidth="1"/>
    <col min="4102" max="4355" width="9.140625" style="1"/>
    <col min="4356" max="4356" width="40.140625" style="1" bestFit="1" customWidth="1"/>
    <col min="4357" max="4357" width="10" style="1" customWidth="1"/>
    <col min="4358" max="4611" width="9.140625" style="1"/>
    <col min="4612" max="4612" width="40.140625" style="1" bestFit="1" customWidth="1"/>
    <col min="4613" max="4613" width="10" style="1" customWidth="1"/>
    <col min="4614" max="4867" width="9.140625" style="1"/>
    <col min="4868" max="4868" width="40.140625" style="1" bestFit="1" customWidth="1"/>
    <col min="4869" max="4869" width="10" style="1" customWidth="1"/>
    <col min="4870" max="5123" width="9.140625" style="1"/>
    <col min="5124" max="5124" width="40.140625" style="1" bestFit="1" customWidth="1"/>
    <col min="5125" max="5125" width="10" style="1" customWidth="1"/>
    <col min="5126" max="5379" width="9.140625" style="1"/>
    <col min="5380" max="5380" width="40.140625" style="1" bestFit="1" customWidth="1"/>
    <col min="5381" max="5381" width="10" style="1" customWidth="1"/>
    <col min="5382" max="5635" width="9.140625" style="1"/>
    <col min="5636" max="5636" width="40.140625" style="1" bestFit="1" customWidth="1"/>
    <col min="5637" max="5637" width="10" style="1" customWidth="1"/>
    <col min="5638" max="5891" width="9.140625" style="1"/>
    <col min="5892" max="5892" width="40.140625" style="1" bestFit="1" customWidth="1"/>
    <col min="5893" max="5893" width="10" style="1" customWidth="1"/>
    <col min="5894" max="6147" width="9.140625" style="1"/>
    <col min="6148" max="6148" width="40.140625" style="1" bestFit="1" customWidth="1"/>
    <col min="6149" max="6149" width="10" style="1" customWidth="1"/>
    <col min="6150" max="6403" width="9.140625" style="1"/>
    <col min="6404" max="6404" width="40.140625" style="1" bestFit="1" customWidth="1"/>
    <col min="6405" max="6405" width="10" style="1" customWidth="1"/>
    <col min="6406" max="6659" width="9.140625" style="1"/>
    <col min="6660" max="6660" width="40.140625" style="1" bestFit="1" customWidth="1"/>
    <col min="6661" max="6661" width="10" style="1" customWidth="1"/>
    <col min="6662" max="6915" width="9.140625" style="1"/>
    <col min="6916" max="6916" width="40.140625" style="1" bestFit="1" customWidth="1"/>
    <col min="6917" max="6917" width="10" style="1" customWidth="1"/>
    <col min="6918" max="7171" width="9.140625" style="1"/>
    <col min="7172" max="7172" width="40.140625" style="1" bestFit="1" customWidth="1"/>
    <col min="7173" max="7173" width="10" style="1" customWidth="1"/>
    <col min="7174" max="7427" width="9.140625" style="1"/>
    <col min="7428" max="7428" width="40.140625" style="1" bestFit="1" customWidth="1"/>
    <col min="7429" max="7429" width="10" style="1" customWidth="1"/>
    <col min="7430" max="7683" width="9.140625" style="1"/>
    <col min="7684" max="7684" width="40.140625" style="1" bestFit="1" customWidth="1"/>
    <col min="7685" max="7685" width="10" style="1" customWidth="1"/>
    <col min="7686" max="7939" width="9.140625" style="1"/>
    <col min="7940" max="7940" width="40.140625" style="1" bestFit="1" customWidth="1"/>
    <col min="7941" max="7941" width="10" style="1" customWidth="1"/>
    <col min="7942" max="8195" width="9.140625" style="1"/>
    <col min="8196" max="8196" width="40.140625" style="1" bestFit="1" customWidth="1"/>
    <col min="8197" max="8197" width="10" style="1" customWidth="1"/>
    <col min="8198" max="8451" width="9.140625" style="1"/>
    <col min="8452" max="8452" width="40.140625" style="1" bestFit="1" customWidth="1"/>
    <col min="8453" max="8453" width="10" style="1" customWidth="1"/>
    <col min="8454" max="8707" width="9.140625" style="1"/>
    <col min="8708" max="8708" width="40.140625" style="1" bestFit="1" customWidth="1"/>
    <col min="8709" max="8709" width="10" style="1" customWidth="1"/>
    <col min="8710" max="8963" width="9.140625" style="1"/>
    <col min="8964" max="8964" width="40.140625" style="1" bestFit="1" customWidth="1"/>
    <col min="8965" max="8965" width="10" style="1" customWidth="1"/>
    <col min="8966" max="9219" width="9.140625" style="1"/>
    <col min="9220" max="9220" width="40.140625" style="1" bestFit="1" customWidth="1"/>
    <col min="9221" max="9221" width="10" style="1" customWidth="1"/>
    <col min="9222" max="9475" width="9.140625" style="1"/>
    <col min="9476" max="9476" width="40.140625" style="1" bestFit="1" customWidth="1"/>
    <col min="9477" max="9477" width="10" style="1" customWidth="1"/>
    <col min="9478" max="9731" width="9.140625" style="1"/>
    <col min="9732" max="9732" width="40.140625" style="1" bestFit="1" customWidth="1"/>
    <col min="9733" max="9733" width="10" style="1" customWidth="1"/>
    <col min="9734" max="9987" width="9.140625" style="1"/>
    <col min="9988" max="9988" width="40.140625" style="1" bestFit="1" customWidth="1"/>
    <col min="9989" max="9989" width="10" style="1" customWidth="1"/>
    <col min="9990" max="10243" width="9.140625" style="1"/>
    <col min="10244" max="10244" width="40.140625" style="1" bestFit="1" customWidth="1"/>
    <col min="10245" max="10245" width="10" style="1" customWidth="1"/>
    <col min="10246" max="10499" width="9.140625" style="1"/>
    <col min="10500" max="10500" width="40.140625" style="1" bestFit="1" customWidth="1"/>
    <col min="10501" max="10501" width="10" style="1" customWidth="1"/>
    <col min="10502" max="10755" width="9.140625" style="1"/>
    <col min="10756" max="10756" width="40.140625" style="1" bestFit="1" customWidth="1"/>
    <col min="10757" max="10757" width="10" style="1" customWidth="1"/>
    <col min="10758" max="11011" width="9.140625" style="1"/>
    <col min="11012" max="11012" width="40.140625" style="1" bestFit="1" customWidth="1"/>
    <col min="11013" max="11013" width="10" style="1" customWidth="1"/>
    <col min="11014" max="11267" width="9.140625" style="1"/>
    <col min="11268" max="11268" width="40.140625" style="1" bestFit="1" customWidth="1"/>
    <col min="11269" max="11269" width="10" style="1" customWidth="1"/>
    <col min="11270" max="11523" width="9.140625" style="1"/>
    <col min="11524" max="11524" width="40.140625" style="1" bestFit="1" customWidth="1"/>
    <col min="11525" max="11525" width="10" style="1" customWidth="1"/>
    <col min="11526" max="11779" width="9.140625" style="1"/>
    <col min="11780" max="11780" width="40.140625" style="1" bestFit="1" customWidth="1"/>
    <col min="11781" max="11781" width="10" style="1" customWidth="1"/>
    <col min="11782" max="12035" width="9.140625" style="1"/>
    <col min="12036" max="12036" width="40.140625" style="1" bestFit="1" customWidth="1"/>
    <col min="12037" max="12037" width="10" style="1" customWidth="1"/>
    <col min="12038" max="12291" width="9.140625" style="1"/>
    <col min="12292" max="12292" width="40.140625" style="1" bestFit="1" customWidth="1"/>
    <col min="12293" max="12293" width="10" style="1" customWidth="1"/>
    <col min="12294" max="12547" width="9.140625" style="1"/>
    <col min="12548" max="12548" width="40.140625" style="1" bestFit="1" customWidth="1"/>
    <col min="12549" max="12549" width="10" style="1" customWidth="1"/>
    <col min="12550" max="12803" width="9.140625" style="1"/>
    <col min="12804" max="12804" width="40.140625" style="1" bestFit="1" customWidth="1"/>
    <col min="12805" max="12805" width="10" style="1" customWidth="1"/>
    <col min="12806" max="13059" width="9.140625" style="1"/>
    <col min="13060" max="13060" width="40.140625" style="1" bestFit="1" customWidth="1"/>
    <col min="13061" max="13061" width="10" style="1" customWidth="1"/>
    <col min="13062" max="13315" width="9.140625" style="1"/>
    <col min="13316" max="13316" width="40.140625" style="1" bestFit="1" customWidth="1"/>
    <col min="13317" max="13317" width="10" style="1" customWidth="1"/>
    <col min="13318" max="13571" width="9.140625" style="1"/>
    <col min="13572" max="13572" width="40.140625" style="1" bestFit="1" customWidth="1"/>
    <col min="13573" max="13573" width="10" style="1" customWidth="1"/>
    <col min="13574" max="13827" width="9.140625" style="1"/>
    <col min="13828" max="13828" width="40.140625" style="1" bestFit="1" customWidth="1"/>
    <col min="13829" max="13829" width="10" style="1" customWidth="1"/>
    <col min="13830" max="14083" width="9.140625" style="1"/>
    <col min="14084" max="14084" width="40.140625" style="1" bestFit="1" customWidth="1"/>
    <col min="14085" max="14085" width="10" style="1" customWidth="1"/>
    <col min="14086" max="14339" width="9.140625" style="1"/>
    <col min="14340" max="14340" width="40.140625" style="1" bestFit="1" customWidth="1"/>
    <col min="14341" max="14341" width="10" style="1" customWidth="1"/>
    <col min="14342" max="14595" width="9.140625" style="1"/>
    <col min="14596" max="14596" width="40.140625" style="1" bestFit="1" customWidth="1"/>
    <col min="14597" max="14597" width="10" style="1" customWidth="1"/>
    <col min="14598" max="14851" width="9.140625" style="1"/>
    <col min="14852" max="14852" width="40.140625" style="1" bestFit="1" customWidth="1"/>
    <col min="14853" max="14853" width="10" style="1" customWidth="1"/>
    <col min="14854" max="15107" width="9.140625" style="1"/>
    <col min="15108" max="15108" width="40.140625" style="1" bestFit="1" customWidth="1"/>
    <col min="15109" max="15109" width="10" style="1" customWidth="1"/>
    <col min="15110" max="15363" width="9.140625" style="1"/>
    <col min="15364" max="15364" width="40.140625" style="1" bestFit="1" customWidth="1"/>
    <col min="15365" max="15365" width="10" style="1" customWidth="1"/>
    <col min="15366" max="15619" width="9.140625" style="1"/>
    <col min="15620" max="15620" width="40.140625" style="1" bestFit="1" customWidth="1"/>
    <col min="15621" max="15621" width="10" style="1" customWidth="1"/>
    <col min="15622" max="15875" width="9.140625" style="1"/>
    <col min="15876" max="15876" width="40.140625" style="1" bestFit="1" customWidth="1"/>
    <col min="15877" max="15877" width="10" style="1" customWidth="1"/>
    <col min="15878" max="16131" width="9.140625" style="1"/>
    <col min="16132" max="16132" width="40.140625" style="1" bestFit="1" customWidth="1"/>
    <col min="16133" max="16133" width="10" style="1" customWidth="1"/>
    <col min="16134" max="16384" width="9.140625" style="1"/>
  </cols>
  <sheetData>
    <row r="1" spans="2:13" ht="13.5" thickTop="1" x14ac:dyDescent="0.2">
      <c r="B1" s="199" t="s">
        <v>348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1"/>
    </row>
    <row r="2" spans="2:13" x14ac:dyDescent="0.2">
      <c r="B2" s="202" t="s">
        <v>21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</row>
    <row r="3" spans="2:13" x14ac:dyDescent="0.2">
      <c r="B3" s="202" t="s">
        <v>0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2:13" x14ac:dyDescent="0.2">
      <c r="B4" s="202" t="s">
        <v>1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4"/>
    </row>
    <row r="5" spans="2:13" ht="13.5" thickBot="1" x14ac:dyDescent="0.25">
      <c r="B5" s="205" t="s">
        <v>355</v>
      </c>
      <c r="C5" s="206"/>
      <c r="D5" s="207"/>
      <c r="E5" s="207"/>
      <c r="F5" s="207"/>
      <c r="G5" s="207"/>
      <c r="H5" s="207"/>
      <c r="I5" s="207"/>
      <c r="J5" s="207"/>
      <c r="K5" s="207"/>
      <c r="L5" s="207"/>
      <c r="M5" s="208"/>
    </row>
    <row r="6" spans="2:13" ht="13.5" thickTop="1" x14ac:dyDescent="0.2">
      <c r="B6" s="196" t="s">
        <v>325</v>
      </c>
      <c r="C6" s="86"/>
      <c r="D6" s="178" t="s">
        <v>338</v>
      </c>
      <c r="E6" s="87" t="s">
        <v>24</v>
      </c>
      <c r="F6" s="77"/>
      <c r="G6" s="80" t="s">
        <v>38</v>
      </c>
      <c r="H6" s="80"/>
      <c r="I6" s="80"/>
      <c r="J6" s="80"/>
      <c r="K6" s="80"/>
      <c r="L6" s="80"/>
      <c r="M6" s="81"/>
    </row>
    <row r="7" spans="2:13" x14ac:dyDescent="0.2">
      <c r="B7" s="197"/>
      <c r="C7" s="88"/>
      <c r="D7" s="179"/>
      <c r="E7" s="89" t="s">
        <v>25</v>
      </c>
      <c r="F7" s="78" t="s">
        <v>23</v>
      </c>
      <c r="G7" s="82" t="s">
        <v>39</v>
      </c>
      <c r="H7" s="82" t="s">
        <v>26</v>
      </c>
      <c r="I7" s="82" t="s">
        <v>26</v>
      </c>
      <c r="J7" s="82" t="s">
        <v>27</v>
      </c>
      <c r="K7" s="82" t="s">
        <v>27</v>
      </c>
      <c r="L7" s="82" t="s">
        <v>28</v>
      </c>
      <c r="M7" s="83" t="s">
        <v>28</v>
      </c>
    </row>
    <row r="8" spans="2:13" x14ac:dyDescent="0.2">
      <c r="B8" s="198"/>
      <c r="C8" s="90"/>
      <c r="D8" s="180"/>
      <c r="E8" s="91"/>
      <c r="F8" s="79"/>
      <c r="G8" s="84" t="s">
        <v>340</v>
      </c>
      <c r="H8" s="84" t="s">
        <v>29</v>
      </c>
      <c r="I8" s="84" t="s">
        <v>30</v>
      </c>
      <c r="J8" s="84" t="s">
        <v>29</v>
      </c>
      <c r="K8" s="84" t="s">
        <v>30</v>
      </c>
      <c r="L8" s="84" t="s">
        <v>29</v>
      </c>
      <c r="M8" s="85" t="s">
        <v>30</v>
      </c>
    </row>
    <row r="9" spans="2:13" x14ac:dyDescent="0.2">
      <c r="B9" s="181" t="s">
        <v>2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3"/>
    </row>
    <row r="10" spans="2:13" ht="17.25" customHeight="1" x14ac:dyDescent="0.2">
      <c r="B10" s="190" t="s">
        <v>5</v>
      </c>
      <c r="C10" s="184" t="s">
        <v>49</v>
      </c>
      <c r="D10" s="13" t="s">
        <v>50</v>
      </c>
      <c r="E10" s="4" t="s">
        <v>33</v>
      </c>
      <c r="F10" s="11" t="s">
        <v>22</v>
      </c>
      <c r="G10" s="15" t="s">
        <v>343</v>
      </c>
      <c r="H10" s="130">
        <f>'Table 2 Stack Out'!L108</f>
        <v>1.0960262602057156</v>
      </c>
      <c r="I10" s="130">
        <f>'Table 2 Stack Out'!L109</f>
        <v>2.400297509850517</v>
      </c>
      <c r="J10" s="130">
        <f>'Table 2 Stack Out'!L111</f>
        <v>0.21920525204114308</v>
      </c>
      <c r="K10" s="131">
        <f>'Table 2 Stack Out'!L112</f>
        <v>0.48005950197010339</v>
      </c>
      <c r="L10" s="131">
        <f>'Table 2 Stack Out'!L114</f>
        <v>5.3804925501007857E-2</v>
      </c>
      <c r="M10" s="132">
        <f>'Table 2 Stack Out'!L115</f>
        <v>0.11783278684720722</v>
      </c>
    </row>
    <row r="11" spans="2:13" ht="17.25" customHeight="1" x14ac:dyDescent="0.2">
      <c r="B11" s="191"/>
      <c r="C11" s="185"/>
      <c r="D11" s="13" t="s">
        <v>51</v>
      </c>
      <c r="E11" s="4" t="s">
        <v>33</v>
      </c>
      <c r="F11" s="11" t="s">
        <v>32</v>
      </c>
      <c r="G11" s="15" t="s">
        <v>343</v>
      </c>
      <c r="H11" s="130">
        <f>'Table 2 Stack Out'!M108</f>
        <v>0.38949508466707639</v>
      </c>
      <c r="I11" s="130">
        <f>'Table 2 Stack Out'!M109</f>
        <v>1.7059884708417947</v>
      </c>
      <c r="J11" s="130">
        <f>'Table 2 Stack Out'!M111</f>
        <v>0.11923318918379888</v>
      </c>
      <c r="K11" s="131">
        <f>'Table 2 Stack Out'!M112</f>
        <v>0.522241368625039</v>
      </c>
      <c r="L11" s="131">
        <f>'Table 2 Stack Out'!M114</f>
        <v>1.1923318918379886E-2</v>
      </c>
      <c r="M11" s="132">
        <f>'Table 2 Stack Out'!M115</f>
        <v>5.2224136862503899E-2</v>
      </c>
    </row>
    <row r="12" spans="2:13" ht="17.25" customHeight="1" x14ac:dyDescent="0.2">
      <c r="B12" s="191"/>
      <c r="C12" s="185"/>
      <c r="D12" s="13" t="s">
        <v>52</v>
      </c>
      <c r="E12" s="4" t="s">
        <v>33</v>
      </c>
      <c r="F12" s="11" t="s">
        <v>43</v>
      </c>
      <c r="G12" s="15" t="s">
        <v>343</v>
      </c>
      <c r="H12" s="130">
        <f>'Table 2 Stack Out'!N108</f>
        <v>8.6942412949193512E-3</v>
      </c>
      <c r="I12" s="130">
        <f>'Table 2 Stack Out'!N109</f>
        <v>7.7402302938683115E-3</v>
      </c>
      <c r="J12" s="130">
        <f>'Table 2 Stack Out'!N111</f>
        <v>4.1121411530023952E-3</v>
      </c>
      <c r="K12" s="131">
        <f>'Table 2 Stack Out'!N112</f>
        <v>3.660919733586363E-3</v>
      </c>
      <c r="L12" s="131">
        <f>'Table 2 Stack Out'!N114</f>
        <v>6.2269566031179151E-4</v>
      </c>
      <c r="M12" s="133">
        <f>'Table 2 Stack Out'!N115</f>
        <v>4.095041254604189E-4</v>
      </c>
    </row>
    <row r="13" spans="2:13" ht="17.25" customHeight="1" x14ac:dyDescent="0.2">
      <c r="B13" s="191"/>
      <c r="C13" s="185"/>
      <c r="D13" s="13" t="s">
        <v>53</v>
      </c>
      <c r="E13" s="4" t="s">
        <v>34</v>
      </c>
      <c r="F13" s="11" t="s">
        <v>44</v>
      </c>
      <c r="G13" s="193" t="s">
        <v>334</v>
      </c>
      <c r="H13" s="130">
        <f>'Table 2 Stack Out'!O108</f>
        <v>8.6942412949193512E-3</v>
      </c>
      <c r="I13" s="130">
        <f>'Table 2 Stack Out'!O109</f>
        <v>7.7402302938683115E-3</v>
      </c>
      <c r="J13" s="130">
        <f>'Table 2 Stack Out'!O111</f>
        <v>4.1121411530023952E-3</v>
      </c>
      <c r="K13" s="131">
        <f>'Table 2 Stack Out'!O112</f>
        <v>3.660919733586363E-3</v>
      </c>
      <c r="L13" s="131">
        <f>'Table 2 Stack Out'!O114</f>
        <v>6.2269566031179151E-4</v>
      </c>
      <c r="M13" s="132">
        <f>'Table 2 Stack Out'!O115</f>
        <v>4.095041254604189E-4</v>
      </c>
    </row>
    <row r="14" spans="2:13" ht="17.25" customHeight="1" x14ac:dyDescent="0.2">
      <c r="B14" s="191"/>
      <c r="C14" s="185"/>
      <c r="D14" s="13" t="s">
        <v>54</v>
      </c>
      <c r="E14" s="16"/>
      <c r="F14" s="11" t="s">
        <v>319</v>
      </c>
      <c r="G14" s="194"/>
      <c r="H14" s="130">
        <f>'Table 2 Stack Out'!P108</f>
        <v>8.6942412949193512E-3</v>
      </c>
      <c r="I14" s="130">
        <f>'Table 2 Stack Out'!P109</f>
        <v>7.7402302938683115E-3</v>
      </c>
      <c r="J14" s="130">
        <f>'Table 2 Stack Out'!P111</f>
        <v>4.1121411530023952E-3</v>
      </c>
      <c r="K14" s="131">
        <f>'Table 2 Stack Out'!P112</f>
        <v>3.660919733586363E-3</v>
      </c>
      <c r="L14" s="131">
        <f>'Table 2 Stack Out'!P114</f>
        <v>6.2269566031179151E-4</v>
      </c>
      <c r="M14" s="132">
        <f>'Table 2 Stack Out'!P115</f>
        <v>4.095041254604189E-4</v>
      </c>
    </row>
    <row r="15" spans="2:13" ht="17.25" customHeight="1" x14ac:dyDescent="0.2">
      <c r="B15" s="191"/>
      <c r="C15" s="185"/>
      <c r="D15" s="13" t="s">
        <v>55</v>
      </c>
      <c r="E15" s="16"/>
      <c r="F15" s="11" t="s">
        <v>45</v>
      </c>
      <c r="G15" s="194"/>
      <c r="H15" s="130">
        <f>'Table 2 Stack Out'!Q108</f>
        <v>1.5400000000000002E-2</v>
      </c>
      <c r="I15" s="130">
        <f>'Table 2 Stack Out'!Q109</f>
        <v>6.7452000000000012E-2</v>
      </c>
      <c r="J15" s="130">
        <f>'Table 2 Stack Out'!Q111</f>
        <v>5.1799999999999997E-3</v>
      </c>
      <c r="K15" s="131">
        <f>'Table 2 Stack Out'!Q112</f>
        <v>2.2688399999999997E-2</v>
      </c>
      <c r="L15" s="131">
        <f>'Table 2 Stack Out'!Q114</f>
        <v>5.1799999999999997E-3</v>
      </c>
      <c r="M15" s="132">
        <f>'Table 2 Stack Out'!Q115</f>
        <v>2.2688399999999997E-2</v>
      </c>
    </row>
    <row r="16" spans="2:13" ht="17.25" customHeight="1" x14ac:dyDescent="0.2">
      <c r="B16" s="191"/>
      <c r="C16" s="185"/>
      <c r="D16" s="13" t="s">
        <v>56</v>
      </c>
      <c r="E16" s="16"/>
      <c r="F16" s="11" t="s">
        <v>320</v>
      </c>
      <c r="G16" s="194"/>
      <c r="H16" s="130">
        <f>'Table 2 Stack Out'!R108</f>
        <v>8.6942412949193512E-3</v>
      </c>
      <c r="I16" s="130">
        <f>'Table 2 Stack Out'!R109</f>
        <v>7.7402302938683115E-3</v>
      </c>
      <c r="J16" s="130">
        <f>'Table 2 Stack Out'!R111</f>
        <v>4.1121411530023952E-3</v>
      </c>
      <c r="K16" s="131">
        <f>'Table 2 Stack Out'!R112</f>
        <v>3.660919733586363E-3</v>
      </c>
      <c r="L16" s="131">
        <f>'Table 2 Stack Out'!R114</f>
        <v>6.2269566031179151E-4</v>
      </c>
      <c r="M16" s="132">
        <f>'Table 2 Stack Out'!R115</f>
        <v>4.095041254604189E-4</v>
      </c>
    </row>
    <row r="17" spans="2:13" ht="17.25" customHeight="1" x14ac:dyDescent="0.2">
      <c r="B17" s="191"/>
      <c r="C17" s="185"/>
      <c r="D17" s="13" t="s">
        <v>57</v>
      </c>
      <c r="E17" s="16"/>
      <c r="F17" s="11" t="s">
        <v>46</v>
      </c>
      <c r="G17" s="194"/>
      <c r="H17" s="130">
        <f>'Table 2 Stack Out'!S108</f>
        <v>3.78E-2</v>
      </c>
      <c r="I17" s="130">
        <f>'Table 2 Stack Out'!S109</f>
        <v>0.16556399999999999</v>
      </c>
      <c r="J17" s="130">
        <f>'Table 2 Stack Out'!S111</f>
        <v>1.6799999999999999E-2</v>
      </c>
      <c r="K17" s="131">
        <f>'Table 2 Stack Out'!S112</f>
        <v>7.3583999999999983E-2</v>
      </c>
      <c r="L17" s="131">
        <f>'Table 2 Stack Out'!S114</f>
        <v>1.6799999999999999E-2</v>
      </c>
      <c r="M17" s="132">
        <f>'Table 2 Stack Out'!S115</f>
        <v>7.3583999999999983E-2</v>
      </c>
    </row>
    <row r="18" spans="2:13" ht="17.25" customHeight="1" x14ac:dyDescent="0.2">
      <c r="B18" s="191"/>
      <c r="C18" s="185"/>
      <c r="D18" s="17"/>
      <c r="E18" s="4" t="s">
        <v>6</v>
      </c>
      <c r="F18" s="11" t="s">
        <v>60</v>
      </c>
      <c r="G18" s="195"/>
      <c r="H18" s="134"/>
      <c r="I18" s="134"/>
      <c r="J18" s="134"/>
      <c r="K18" s="135"/>
      <c r="L18" s="135"/>
      <c r="M18" s="136"/>
    </row>
    <row r="19" spans="2:13" ht="17.25" customHeight="1" x14ac:dyDescent="0.2">
      <c r="B19" s="191"/>
      <c r="C19" s="185"/>
      <c r="D19" s="13" t="s">
        <v>111</v>
      </c>
      <c r="E19" s="16"/>
      <c r="F19" s="11" t="s">
        <v>61</v>
      </c>
      <c r="G19" s="187" t="s">
        <v>335</v>
      </c>
      <c r="H19" s="130">
        <f>'Table 2 Stack Out'!T108</f>
        <v>8.6942412949193512E-3</v>
      </c>
      <c r="I19" s="130">
        <f>'Table 2 Stack Out'!T109</f>
        <v>7.7402302938683115E-3</v>
      </c>
      <c r="J19" s="130">
        <f>'Table 2 Stack Out'!T111</f>
        <v>4.1121411530023952E-3</v>
      </c>
      <c r="K19" s="131">
        <f>'Table 2 Stack Out'!T112</f>
        <v>3.660919733586363E-3</v>
      </c>
      <c r="L19" s="131">
        <f>'Table 2 Stack Out'!T114</f>
        <v>6.2269566031179151E-4</v>
      </c>
      <c r="M19" s="132">
        <f>'Table 2 Stack Out'!T115</f>
        <v>4.095041254604189E-4</v>
      </c>
    </row>
    <row r="20" spans="2:13" ht="17.25" customHeight="1" x14ac:dyDescent="0.2">
      <c r="B20" s="191"/>
      <c r="C20" s="185"/>
      <c r="D20" s="17"/>
      <c r="E20" s="5" t="s">
        <v>63</v>
      </c>
      <c r="F20" s="11" t="s">
        <v>47</v>
      </c>
      <c r="G20" s="188"/>
      <c r="H20" s="134"/>
      <c r="I20" s="134"/>
      <c r="J20" s="134"/>
      <c r="K20" s="135"/>
      <c r="L20" s="135"/>
      <c r="M20" s="136"/>
    </row>
    <row r="21" spans="2:13" ht="17.25" customHeight="1" x14ac:dyDescent="0.2">
      <c r="B21" s="191"/>
      <c r="C21" s="185"/>
      <c r="D21" s="17"/>
      <c r="E21" s="5" t="s">
        <v>64</v>
      </c>
      <c r="F21" s="11" t="s">
        <v>48</v>
      </c>
      <c r="G21" s="189"/>
      <c r="H21" s="134"/>
      <c r="I21" s="134"/>
      <c r="J21" s="134"/>
      <c r="K21" s="135"/>
      <c r="L21" s="135"/>
      <c r="M21" s="136"/>
    </row>
    <row r="22" spans="2:13" ht="17.25" customHeight="1" x14ac:dyDescent="0.2">
      <c r="B22" s="191"/>
      <c r="C22" s="185"/>
      <c r="D22" s="13" t="s">
        <v>59</v>
      </c>
      <c r="E22" s="5" t="s">
        <v>7</v>
      </c>
      <c r="F22" s="12" t="s">
        <v>356</v>
      </c>
      <c r="G22" s="129" t="s">
        <v>333</v>
      </c>
      <c r="H22" s="137">
        <f>'Table 2 Stack Out'!U108</f>
        <v>8.6942412949193512E-3</v>
      </c>
      <c r="I22" s="137">
        <f>'Table 2 Stack Out'!U109</f>
        <v>7.7402302938683115E-3</v>
      </c>
      <c r="J22" s="130">
        <f>'Table 2 Stack Out'!U111</f>
        <v>4.1121411530023952E-3</v>
      </c>
      <c r="K22" s="131">
        <f>'Table 2 Stack Out'!U112</f>
        <v>3.660919733586363E-3</v>
      </c>
      <c r="L22" s="131">
        <f>'Table 2 Stack Out'!U114</f>
        <v>6.2269566031179151E-4</v>
      </c>
      <c r="M22" s="132">
        <f>'Table 2 Stack Out'!U115</f>
        <v>4.095041254604189E-4</v>
      </c>
    </row>
    <row r="23" spans="2:13" ht="17.25" customHeight="1" x14ac:dyDescent="0.2">
      <c r="B23" s="191"/>
      <c r="C23" s="185"/>
      <c r="D23" s="13" t="s">
        <v>62</v>
      </c>
      <c r="E23" s="5" t="s">
        <v>8</v>
      </c>
      <c r="F23" s="12" t="s">
        <v>357</v>
      </c>
      <c r="G23" s="129" t="s">
        <v>333</v>
      </c>
      <c r="H23" s="137">
        <f>'Table 2 Stack Out'!W108</f>
        <v>1.1592321726559133E-2</v>
      </c>
      <c r="I23" s="137">
        <f>'Table 2 Stack Out'!W109</f>
        <v>1.0320307058491083E-2</v>
      </c>
      <c r="J23" s="130">
        <f>'Table 2 Stack Out'!W111</f>
        <v>5.4828548706698605E-3</v>
      </c>
      <c r="K23" s="131">
        <f>'Table 2 Stack Out'!W112</f>
        <v>4.881226311448484E-3</v>
      </c>
      <c r="L23" s="131">
        <f>'Table 2 Stack Out'!W114</f>
        <v>8.3026088041572197E-4</v>
      </c>
      <c r="M23" s="132">
        <f>'Table 2 Stack Out'!W115</f>
        <v>7.2800733415185573E-4</v>
      </c>
    </row>
    <row r="24" spans="2:13" ht="17.25" customHeight="1" x14ac:dyDescent="0.2">
      <c r="B24" s="191"/>
      <c r="C24" s="185"/>
      <c r="D24" s="13" t="s">
        <v>321</v>
      </c>
      <c r="E24" s="4" t="s">
        <v>33</v>
      </c>
      <c r="F24" s="12" t="s">
        <v>80</v>
      </c>
      <c r="G24" s="15" t="s">
        <v>343</v>
      </c>
      <c r="H24" s="137">
        <f>'Table 2 Stack Out'!Z108</f>
        <v>0.22315514184397164</v>
      </c>
      <c r="I24" s="137">
        <f>'Table 2 Stack Out'!Z109</f>
        <v>0.19548390425531917</v>
      </c>
      <c r="J24" s="130">
        <f>'Table 2 Stack Out'!Z111</f>
        <v>0.11157757092198582</v>
      </c>
      <c r="K24" s="131">
        <f>'Table 2 Stack Out'!Z112</f>
        <v>9.7741952127659584E-2</v>
      </c>
      <c r="L24" s="131">
        <f>'Table 2 Stack Out'!Z114</f>
        <v>1.6736635638297869E-2</v>
      </c>
      <c r="M24" s="132">
        <f>'Table 2 Stack Out'!Z115</f>
        <v>1.4661292819148937E-2</v>
      </c>
    </row>
    <row r="25" spans="2:13" ht="17.25" customHeight="1" x14ac:dyDescent="0.2">
      <c r="B25" s="191"/>
      <c r="C25" s="185"/>
      <c r="D25" s="13" t="s">
        <v>298</v>
      </c>
      <c r="E25" s="5" t="s">
        <v>9</v>
      </c>
      <c r="F25" s="12" t="s">
        <v>358</v>
      </c>
      <c r="G25" s="129" t="s">
        <v>333</v>
      </c>
      <c r="H25" s="137">
        <f>'Table 2 Stack Out'!X108</f>
        <v>8.6942412949193512E-3</v>
      </c>
      <c r="I25" s="137">
        <f>'Table 2 Stack Out'!X109</f>
        <v>7.7402302938683115E-3</v>
      </c>
      <c r="J25" s="130">
        <f>'Table 2 Stack Out'!X111</f>
        <v>4.1121411530023952E-3</v>
      </c>
      <c r="K25" s="131">
        <f>'Table 2 Stack Out'!X112</f>
        <v>3.660919733586363E-3</v>
      </c>
      <c r="L25" s="131">
        <f>'Table 2 Stack Out'!X114</f>
        <v>6.2269566031179151E-4</v>
      </c>
      <c r="M25" s="132">
        <f>'Table 2 Stack Out'!X115</f>
        <v>4.095041254604189E-4</v>
      </c>
    </row>
    <row r="26" spans="2:13" ht="17.25" customHeight="1" x14ac:dyDescent="0.2">
      <c r="B26" s="191"/>
      <c r="C26" s="185"/>
      <c r="D26" s="13" t="s">
        <v>322</v>
      </c>
      <c r="E26" s="5" t="s">
        <v>10</v>
      </c>
      <c r="F26" s="12" t="s">
        <v>13</v>
      </c>
      <c r="G26" s="129" t="s">
        <v>333</v>
      </c>
      <c r="H26" s="137">
        <f>'Table 2 Stack Out'!Y108</f>
        <v>1.1592321726559133E-2</v>
      </c>
      <c r="I26" s="137">
        <f>'Table 2 Stack Out'!Y109</f>
        <v>1.0320307058491083E-2</v>
      </c>
      <c r="J26" s="130">
        <f>'Table 2 Stack Out'!Y111</f>
        <v>5.4828548706698605E-3</v>
      </c>
      <c r="K26" s="131">
        <f>'Table 2 Stack Out'!Y112</f>
        <v>4.881226311448484E-3</v>
      </c>
      <c r="L26" s="131">
        <f>'Table 2 Stack Out'!Y114</f>
        <v>8.3026088041572197E-4</v>
      </c>
      <c r="M26" s="132">
        <f>'Table 2 Stack Out'!Y115</f>
        <v>7.2800733415185573E-4</v>
      </c>
    </row>
    <row r="27" spans="2:13" ht="17.25" customHeight="1" x14ac:dyDescent="0.2">
      <c r="B27" s="191"/>
      <c r="C27" s="186"/>
      <c r="D27" s="13" t="s">
        <v>323</v>
      </c>
      <c r="E27" s="4" t="s">
        <v>33</v>
      </c>
      <c r="F27" s="12" t="s">
        <v>79</v>
      </c>
      <c r="G27" s="15" t="s">
        <v>343</v>
      </c>
      <c r="H27" s="137">
        <f>'Table 2 Stack Out'!Z108</f>
        <v>0.22315514184397164</v>
      </c>
      <c r="I27" s="137">
        <f>'Table 2 Stack Out'!Z109</f>
        <v>0.19548390425531917</v>
      </c>
      <c r="J27" s="130">
        <f>'Table 2 Stack Out'!Z111</f>
        <v>0.11157757092198582</v>
      </c>
      <c r="K27" s="131">
        <f>'Table 2 Stack Out'!Z112</f>
        <v>9.7741952127659584E-2</v>
      </c>
      <c r="L27" s="131">
        <f>'Table 2 Stack Out'!Z114</f>
        <v>1.6736635638297869E-2</v>
      </c>
      <c r="M27" s="132">
        <f>'Table 2 Stack Out'!Z115</f>
        <v>1.4661292819148937E-2</v>
      </c>
    </row>
    <row r="28" spans="2:13" ht="17.25" customHeight="1" x14ac:dyDescent="0.2">
      <c r="B28" s="191"/>
      <c r="C28" s="184" t="s">
        <v>65</v>
      </c>
      <c r="D28" s="13" t="s">
        <v>35</v>
      </c>
      <c r="E28" s="5" t="s">
        <v>11</v>
      </c>
      <c r="F28" s="12" t="s">
        <v>78</v>
      </c>
      <c r="G28" s="129" t="s">
        <v>333</v>
      </c>
      <c r="H28" s="137">
        <f>'Table 3 Reclaim and EU003truck'!L82</f>
        <v>7.2193004677970735E-4</v>
      </c>
      <c r="I28" s="137">
        <f>'Table 3 Reclaim and EU003truck'!L83</f>
        <v>1.2969630877988976E-3</v>
      </c>
      <c r="J28" s="130">
        <f>'Table 3 Reclaim and EU003truck'!L85</f>
        <v>3.4145340050391559E-4</v>
      </c>
      <c r="K28" s="131">
        <f>'Table 3 Reclaim and EU003truck'!L86</f>
        <v>6.1342848747245147E-4</v>
      </c>
      <c r="L28" s="131">
        <f>'Table 3 Reclaim and EU003truck'!L88</f>
        <v>5.1705800647735794E-5</v>
      </c>
      <c r="M28" s="132">
        <f>'Table 3 Reclaim and EU003truck'!L89</f>
        <v>9.2890599531542656E-5</v>
      </c>
    </row>
    <row r="29" spans="2:13" ht="17.25" customHeight="1" x14ac:dyDescent="0.2">
      <c r="B29" s="191"/>
      <c r="C29" s="185"/>
      <c r="D29" s="13" t="s">
        <v>36</v>
      </c>
      <c r="E29" s="4" t="s">
        <v>33</v>
      </c>
      <c r="F29" s="11" t="s">
        <v>66</v>
      </c>
      <c r="G29" s="15" t="s">
        <v>343</v>
      </c>
      <c r="H29" s="130">
        <f>'Table 3 Reclaim and EU003truck'!M82</f>
        <v>4.3315802806782409E-3</v>
      </c>
      <c r="I29" s="130">
        <f>'Table 3 Reclaim and EU003truck'!M83</f>
        <v>7.7817785267933802E-3</v>
      </c>
      <c r="J29" s="130">
        <f>'Table 3 Reclaim and EU003truck'!M85</f>
        <v>2.0487204030234917E-3</v>
      </c>
      <c r="K29" s="131">
        <f>'Table 3 Reclaim and EU003truck'!M86</f>
        <v>3.680570924834706E-3</v>
      </c>
      <c r="L29" s="131">
        <f>'Table 3 Reclaim and EU003truck'!M88</f>
        <v>3.1023480388641452E-4</v>
      </c>
      <c r="M29" s="132">
        <f>'Table 3 Reclaim and EU003truck'!M89</f>
        <v>5.5734359718925548E-4</v>
      </c>
    </row>
    <row r="30" spans="2:13" ht="17.25" customHeight="1" x14ac:dyDescent="0.2">
      <c r="B30" s="191"/>
      <c r="C30" s="185"/>
      <c r="D30" s="13" t="s">
        <v>37</v>
      </c>
      <c r="E30" s="4" t="s">
        <v>34</v>
      </c>
      <c r="F30" s="11" t="s">
        <v>362</v>
      </c>
      <c r="G30" s="15" t="s">
        <v>343</v>
      </c>
      <c r="H30" s="130">
        <f>'Table 3 Reclaim and EU003truck'!N82</f>
        <v>7.2193004677970735E-4</v>
      </c>
      <c r="I30" s="130">
        <f>'Table 3 Reclaim and EU003truck'!N83</f>
        <v>1.2969630877988976E-3</v>
      </c>
      <c r="J30" s="130">
        <f>'Table 3 Reclaim and EU003truck'!N85</f>
        <v>3.4145340050391559E-4</v>
      </c>
      <c r="K30" s="131">
        <f>'Table 3 Reclaim and EU003truck'!N86</f>
        <v>6.1342848747245147E-4</v>
      </c>
      <c r="L30" s="131">
        <f>'Table 3 Reclaim and EU003truck'!N88</f>
        <v>5.1705800647735794E-5</v>
      </c>
      <c r="M30" s="132">
        <f>'Table 3 Reclaim and EU003truck'!N89</f>
        <v>9.2890599531542656E-5</v>
      </c>
    </row>
    <row r="31" spans="2:13" ht="17.25" customHeight="1" x14ac:dyDescent="0.2">
      <c r="B31" s="191"/>
      <c r="C31" s="185"/>
      <c r="D31" s="13" t="s">
        <v>41</v>
      </c>
      <c r="E31" s="16"/>
      <c r="F31" s="11" t="s">
        <v>360</v>
      </c>
      <c r="G31" s="187" t="s">
        <v>336</v>
      </c>
      <c r="H31" s="130">
        <f>'Table 3 Reclaim and EU003truck'!O82</f>
        <v>7.2193004677970735E-4</v>
      </c>
      <c r="I31" s="130">
        <f>'Table 3 Reclaim and EU003truck'!O83</f>
        <v>1.2969630877988976E-3</v>
      </c>
      <c r="J31" s="130">
        <f>'Table 3 Reclaim and EU003truck'!O85</f>
        <v>3.4145340050391559E-4</v>
      </c>
      <c r="K31" s="131">
        <f>'Table 3 Reclaim and EU003truck'!O86</f>
        <v>6.1342848747245147E-4</v>
      </c>
      <c r="L31" s="131">
        <f>'Table 3 Reclaim and EU003truck'!O88</f>
        <v>5.1705800647735794E-5</v>
      </c>
      <c r="M31" s="132">
        <f>'Table 3 Reclaim and EU003truck'!O89</f>
        <v>9.2890599531542656E-5</v>
      </c>
    </row>
    <row r="32" spans="2:13" ht="17.25" customHeight="1" x14ac:dyDescent="0.2">
      <c r="B32" s="191"/>
      <c r="C32" s="185"/>
      <c r="D32" s="16"/>
      <c r="E32" s="6" t="s">
        <v>67</v>
      </c>
      <c r="F32" s="11" t="s">
        <v>70</v>
      </c>
      <c r="G32" s="188"/>
      <c r="H32" s="134"/>
      <c r="I32" s="134"/>
      <c r="J32" s="134"/>
      <c r="K32" s="138"/>
      <c r="L32" s="138"/>
      <c r="M32" s="136"/>
    </row>
    <row r="33" spans="2:13" ht="17.25" customHeight="1" x14ac:dyDescent="0.2">
      <c r="B33" s="191"/>
      <c r="C33" s="185"/>
      <c r="D33" s="16"/>
      <c r="E33" s="7" t="s">
        <v>68</v>
      </c>
      <c r="F33" s="11" t="s">
        <v>71</v>
      </c>
      <c r="G33" s="189"/>
      <c r="H33" s="139"/>
      <c r="I33" s="139"/>
      <c r="J33" s="139"/>
      <c r="K33" s="135"/>
      <c r="L33" s="135"/>
      <c r="M33" s="136"/>
    </row>
    <row r="34" spans="2:13" ht="17.25" customHeight="1" x14ac:dyDescent="0.2">
      <c r="B34" s="191"/>
      <c r="C34" s="185"/>
      <c r="D34" s="13" t="s">
        <v>42</v>
      </c>
      <c r="E34" s="7" t="s">
        <v>14</v>
      </c>
      <c r="F34" s="11" t="s">
        <v>72</v>
      </c>
      <c r="G34" s="129" t="s">
        <v>333</v>
      </c>
      <c r="H34" s="140">
        <f>'Table 3 Reclaim and EU003truck'!P82</f>
        <v>1.4438600935594147E-3</v>
      </c>
      <c r="I34" s="130">
        <f>'Table 3 Reclaim and EU003truck'!P83</f>
        <v>2.5939261755977953E-3</v>
      </c>
      <c r="J34" s="130">
        <f>'Table 3 Reclaim and EU003truck'!P85</f>
        <v>6.8290680100783119E-4</v>
      </c>
      <c r="K34" s="131">
        <f>'Table 3 Reclaim and EU003truck'!P86</f>
        <v>1.2268569749449029E-3</v>
      </c>
      <c r="L34" s="131">
        <f>'Table 3 Reclaim and EU003truck'!P88</f>
        <v>1.0341160129547159E-4</v>
      </c>
      <c r="M34" s="132">
        <f>'Table 3 Reclaim and EU003truck'!P89</f>
        <v>1.8578119906308531E-4</v>
      </c>
    </row>
    <row r="35" spans="2:13" ht="17.25" customHeight="1" x14ac:dyDescent="0.2">
      <c r="B35" s="191"/>
      <c r="C35" s="185"/>
      <c r="D35" s="13" t="s">
        <v>69</v>
      </c>
      <c r="E35" s="7" t="s">
        <v>12</v>
      </c>
      <c r="F35" s="12" t="s">
        <v>73</v>
      </c>
      <c r="G35" s="129" t="s">
        <v>333</v>
      </c>
      <c r="H35" s="140">
        <f>'Table 3 Reclaim and EU003truck'!Q82</f>
        <v>7.2193004677970735E-4</v>
      </c>
      <c r="I35" s="130">
        <f>'Table 3 Reclaim and EU003truck'!Q83</f>
        <v>1.2969630877988976E-3</v>
      </c>
      <c r="J35" s="130">
        <f>'Table 3 Reclaim and EU003truck'!Q85</f>
        <v>3.4145340050391559E-4</v>
      </c>
      <c r="K35" s="131">
        <f>'Table 3 Reclaim and EU003truck'!Q86</f>
        <v>6.1342848747245147E-4</v>
      </c>
      <c r="L35" s="131">
        <f>'Table 3 Reclaim and EU003truck'!Q88</f>
        <v>5.1705800647735794E-5</v>
      </c>
      <c r="M35" s="132">
        <f>'Table 3 Reclaim and EU003truck'!Q89</f>
        <v>9.2890599531542656E-5</v>
      </c>
    </row>
    <row r="36" spans="2:13" ht="17.25" customHeight="1" x14ac:dyDescent="0.2">
      <c r="B36" s="191"/>
      <c r="C36" s="185"/>
      <c r="D36" s="13" t="s">
        <v>359</v>
      </c>
      <c r="E36" s="16"/>
      <c r="F36" s="11" t="s">
        <v>81</v>
      </c>
      <c r="G36" s="187" t="s">
        <v>337</v>
      </c>
      <c r="H36" s="140">
        <f>'Table 3 Reclaim and EU003truck'!R82</f>
        <v>7.2193004677970735E-4</v>
      </c>
      <c r="I36" s="130">
        <f>'Table 3 Reclaim and EU003truck'!R83</f>
        <v>1.2969630877988976E-3</v>
      </c>
      <c r="J36" s="130">
        <f>'Table 3 Reclaim and EU003truck'!R85</f>
        <v>3.4145340050391559E-4</v>
      </c>
      <c r="K36" s="131">
        <f>'Table 3 Reclaim and EU003truck'!R86</f>
        <v>6.1342848747245147E-4</v>
      </c>
      <c r="L36" s="131">
        <f>'Table 3 Reclaim and EU003truck'!R88</f>
        <v>5.1705800647735794E-5</v>
      </c>
      <c r="M36" s="132">
        <f>'Table 3 Reclaim and EU003truck'!R89</f>
        <v>9.2890599531542656E-5</v>
      </c>
    </row>
    <row r="37" spans="2:13" ht="17.25" customHeight="1" x14ac:dyDescent="0.2">
      <c r="B37" s="191"/>
      <c r="C37" s="185"/>
      <c r="D37" s="16"/>
      <c r="E37" s="9" t="s">
        <v>76</v>
      </c>
      <c r="F37" s="11" t="s">
        <v>74</v>
      </c>
      <c r="G37" s="188"/>
      <c r="H37" s="134"/>
      <c r="I37" s="134"/>
      <c r="J37" s="134"/>
      <c r="K37" s="138"/>
      <c r="L37" s="138"/>
      <c r="M37" s="136"/>
    </row>
    <row r="38" spans="2:13" ht="17.25" customHeight="1" x14ac:dyDescent="0.2">
      <c r="B38" s="191"/>
      <c r="C38" s="186"/>
      <c r="D38" s="16"/>
      <c r="E38" s="8" t="s">
        <v>77</v>
      </c>
      <c r="F38" s="11" t="s">
        <v>75</v>
      </c>
      <c r="G38" s="189"/>
      <c r="H38" s="139"/>
      <c r="I38" s="139"/>
      <c r="J38" s="139"/>
      <c r="K38" s="135"/>
      <c r="L38" s="135"/>
      <c r="M38" s="136"/>
    </row>
    <row r="39" spans="2:13" ht="17.25" customHeight="1" x14ac:dyDescent="0.2">
      <c r="B39" s="192"/>
      <c r="C39" s="14"/>
      <c r="D39" s="14"/>
      <c r="E39" s="4" t="s">
        <v>33</v>
      </c>
      <c r="F39" s="11" t="s">
        <v>302</v>
      </c>
      <c r="G39" s="15" t="s">
        <v>343</v>
      </c>
      <c r="H39" s="130">
        <f>'Table 3 Reclaim and EU003truck'!S82</f>
        <v>1.9552407273820062E-3</v>
      </c>
      <c r="I39" s="130">
        <f>'Table 3 Reclaim and EU003truck'!S83</f>
        <v>8.5639543859331868E-3</v>
      </c>
      <c r="J39" s="130">
        <f>'Table 3 Reclaim and EU003truck'!S85</f>
        <v>3.9104814547640128E-4</v>
      </c>
      <c r="K39" s="130">
        <f>'Table 3 Reclaim and EU003truck'!S86</f>
        <v>1.7127908771866376E-3</v>
      </c>
      <c r="L39" s="130">
        <f>'Table 3 Reclaim and EU003truck'!S88</f>
        <v>9.5984544798753048E-5</v>
      </c>
      <c r="M39" s="155">
        <f>'Table 3 Reclaim and EU003truck'!S89</f>
        <v>4.2041230621853837E-4</v>
      </c>
    </row>
    <row r="40" spans="2:13" ht="20.100000000000001" customHeight="1" x14ac:dyDescent="0.2">
      <c r="B40" s="152"/>
      <c r="C40" s="153"/>
      <c r="D40" s="153"/>
      <c r="E40" s="153"/>
      <c r="F40" s="153"/>
      <c r="G40" s="153"/>
      <c r="H40" s="143" t="s">
        <v>29</v>
      </c>
      <c r="I40" s="143" t="s">
        <v>30</v>
      </c>
      <c r="J40" s="143" t="s">
        <v>29</v>
      </c>
      <c r="K40" s="143" t="s">
        <v>30</v>
      </c>
      <c r="L40" s="143" t="s">
        <v>29</v>
      </c>
      <c r="M40" s="156" t="s">
        <v>30</v>
      </c>
    </row>
    <row r="41" spans="2:13" ht="20.100000000000001" customHeight="1" x14ac:dyDescent="0.2">
      <c r="B41" s="152"/>
      <c r="C41" s="153"/>
      <c r="D41" s="153"/>
      <c r="E41" s="153"/>
      <c r="F41" s="154"/>
      <c r="G41" s="157" t="s">
        <v>347</v>
      </c>
      <c r="H41" s="158">
        <f t="shared" ref="H41:M41" si="0">SUM(H10:H39)</f>
        <v>2.080416292413807</v>
      </c>
      <c r="I41" s="158">
        <f>SUM(I10:I39)</f>
        <v>4.8305164899043298</v>
      </c>
      <c r="J41" s="158">
        <f t="shared" si="0"/>
        <v>0.62815422323329762</v>
      </c>
      <c r="K41" s="158">
        <f t="shared" si="0"/>
        <v>1.3391334268227912</v>
      </c>
      <c r="L41" s="158">
        <f t="shared" si="0"/>
        <v>0.1279690670322168</v>
      </c>
      <c r="M41" s="159">
        <f t="shared" si="0"/>
        <v>0.30160244299466427</v>
      </c>
    </row>
    <row r="42" spans="2:13" ht="20.100000000000001" customHeight="1" x14ac:dyDescent="0.2">
      <c r="B42" s="181" t="s">
        <v>31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3"/>
    </row>
    <row r="43" spans="2:13" ht="20.100000000000001" customHeight="1" x14ac:dyDescent="0.2">
      <c r="B43" s="107" t="s">
        <v>15</v>
      </c>
      <c r="C43" s="108"/>
      <c r="D43" s="108"/>
      <c r="E43" s="109" t="s">
        <v>16</v>
      </c>
      <c r="F43" s="123" t="s">
        <v>17</v>
      </c>
      <c r="G43" s="145">
        <v>10</v>
      </c>
      <c r="H43" s="146">
        <v>11.7</v>
      </c>
      <c r="I43" s="120">
        <f>H43/2000*8760</f>
        <v>51.245999999999995</v>
      </c>
      <c r="J43" s="120">
        <v>11.7</v>
      </c>
      <c r="K43" s="120">
        <f>J43/2000*8760</f>
        <v>51.245999999999995</v>
      </c>
      <c r="L43" s="121">
        <v>7.6</v>
      </c>
      <c r="M43" s="160">
        <f>L43/2000*8760</f>
        <v>33.287999999999997</v>
      </c>
    </row>
    <row r="44" spans="2:13" ht="20.100000000000001" customHeight="1" x14ac:dyDescent="0.2">
      <c r="B44" s="181" t="s">
        <v>3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3"/>
    </row>
    <row r="45" spans="2:13" ht="20.100000000000001" customHeight="1" x14ac:dyDescent="0.2">
      <c r="B45" s="107" t="s">
        <v>18</v>
      </c>
      <c r="C45" s="108"/>
      <c r="D45" s="108"/>
      <c r="E45" s="109" t="s">
        <v>20</v>
      </c>
      <c r="F45" s="123" t="s">
        <v>299</v>
      </c>
      <c r="G45" s="111">
        <v>10</v>
      </c>
      <c r="H45" s="119">
        <f>'Table 5 EU003 Calcs'!F19</f>
        <v>1.8857142857142857</v>
      </c>
      <c r="I45" s="120">
        <f>'Table 5 EU003 Calcs'!F20</f>
        <v>7.4334857142857143</v>
      </c>
      <c r="J45" s="120">
        <f>'Table 5 EU003 Calcs'!F22</f>
        <v>0.30476190476190473</v>
      </c>
      <c r="K45" s="121">
        <f>'Table 5 EU003 Calcs'!F23</f>
        <v>1.2013714285714285</v>
      </c>
      <c r="L45" s="121">
        <f>'Table 5 EU003 Calcs'!F25</f>
        <v>0.11428571428571425</v>
      </c>
      <c r="M45" s="122">
        <f>'Table 5 EU003 Calcs'!F26</f>
        <v>0.4505142857142857</v>
      </c>
    </row>
    <row r="46" spans="2:13" ht="20.100000000000001" customHeight="1" x14ac:dyDescent="0.2">
      <c r="B46" s="181" t="s">
        <v>4</v>
      </c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3"/>
    </row>
    <row r="47" spans="2:13" s="112" customFormat="1" ht="25.5" hidden="1" x14ac:dyDescent="0.25">
      <c r="B47" s="107" t="s">
        <v>19</v>
      </c>
      <c r="C47" s="108"/>
      <c r="D47" s="108"/>
      <c r="E47" s="109" t="s">
        <v>317</v>
      </c>
      <c r="F47" s="110" t="s">
        <v>318</v>
      </c>
      <c r="G47" s="111">
        <v>5</v>
      </c>
      <c r="H47" s="119" t="e">
        <f>#REF!</f>
        <v>#REF!</v>
      </c>
      <c r="I47" s="120" t="e">
        <f>#REF!</f>
        <v>#REF!</v>
      </c>
      <c r="J47" s="120" t="e">
        <f>#REF!</f>
        <v>#REF!</v>
      </c>
      <c r="K47" s="121" t="e">
        <f>#REF!</f>
        <v>#REF!</v>
      </c>
      <c r="L47" s="121" t="e">
        <f>#REF!</f>
        <v>#REF!</v>
      </c>
      <c r="M47" s="122" t="e">
        <f>#REF!</f>
        <v>#REF!</v>
      </c>
    </row>
    <row r="48" spans="2:13" ht="20.100000000000001" customHeight="1" x14ac:dyDescent="0.2">
      <c r="B48" s="3" t="s">
        <v>19</v>
      </c>
      <c r="C48" s="14"/>
      <c r="D48" s="14"/>
      <c r="E48" s="2"/>
      <c r="F48" s="10" t="s">
        <v>366</v>
      </c>
      <c r="G48" s="76">
        <v>5</v>
      </c>
      <c r="H48" s="169">
        <v>0.77</v>
      </c>
      <c r="I48" s="170">
        <v>3.04</v>
      </c>
      <c r="J48" s="170">
        <v>0.36</v>
      </c>
      <c r="K48" s="175">
        <v>1.44</v>
      </c>
      <c r="L48" s="177">
        <v>5.5E-2</v>
      </c>
      <c r="M48" s="176">
        <v>2.1999999999999999E-2</v>
      </c>
    </row>
    <row r="49" spans="2:13" ht="20.100000000000001" customHeight="1" x14ac:dyDescent="0.2">
      <c r="B49" s="3"/>
      <c r="C49" s="14"/>
      <c r="D49" s="14"/>
      <c r="E49" s="2"/>
      <c r="F49" s="10"/>
      <c r="G49" s="76"/>
      <c r="H49" s="115"/>
      <c r="I49" s="116"/>
      <c r="J49" s="116"/>
      <c r="K49" s="117"/>
      <c r="L49" s="117"/>
      <c r="M49" s="118"/>
    </row>
    <row r="50" spans="2:13" ht="20.100000000000001" customHeight="1" x14ac:dyDescent="0.2">
      <c r="B50" s="181" t="s">
        <v>300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3"/>
    </row>
    <row r="51" spans="2:13" ht="20.100000000000001" customHeight="1" thickBot="1" x14ac:dyDescent="0.25">
      <c r="B51" s="161" t="s">
        <v>345</v>
      </c>
      <c r="C51" s="162"/>
      <c r="D51" s="162"/>
      <c r="E51" s="163" t="s">
        <v>301</v>
      </c>
      <c r="F51" s="164" t="s">
        <v>344</v>
      </c>
      <c r="G51" s="165"/>
      <c r="H51" s="166">
        <f>610*0.0022</f>
        <v>1.3420000000000001</v>
      </c>
      <c r="I51" s="167">
        <f>H51*500/2000</f>
        <v>0.33550000000000002</v>
      </c>
      <c r="J51" s="167">
        <f>H51</f>
        <v>1.3420000000000001</v>
      </c>
      <c r="K51" s="167">
        <f t="shared" ref="K51:M51" si="1">I51</f>
        <v>0.33550000000000002</v>
      </c>
      <c r="L51" s="167">
        <f t="shared" si="1"/>
        <v>1.3420000000000001</v>
      </c>
      <c r="M51" s="168">
        <f t="shared" si="1"/>
        <v>0.33550000000000002</v>
      </c>
    </row>
    <row r="52" spans="2:13" ht="13.5" thickTop="1" x14ac:dyDescent="0.2">
      <c r="F52" s="147"/>
      <c r="G52" s="148" t="s">
        <v>332</v>
      </c>
      <c r="H52" s="149"/>
      <c r="I52" s="150">
        <f>SUM(I41,I43,I45,I48:I49,I51)</f>
        <v>66.885502204190033</v>
      </c>
      <c r="J52" s="150"/>
      <c r="K52" s="150">
        <f>SUM(K41,K43,K45,K48:K49,K51)</f>
        <v>55.562004855394214</v>
      </c>
      <c r="L52" s="150"/>
      <c r="M52" s="150">
        <f>SUM(M41,M43,M45,M48:M49,M51)</f>
        <v>34.397616728708947</v>
      </c>
    </row>
    <row r="53" spans="2:13" x14ac:dyDescent="0.2">
      <c r="B53" s="151" t="s">
        <v>339</v>
      </c>
    </row>
    <row r="54" spans="2:13" x14ac:dyDescent="0.2">
      <c r="B54" s="151" t="s">
        <v>341</v>
      </c>
    </row>
    <row r="55" spans="2:13" x14ac:dyDescent="0.2">
      <c r="B55" s="151" t="s">
        <v>342</v>
      </c>
    </row>
    <row r="56" spans="2:13" x14ac:dyDescent="0.2">
      <c r="B56" s="151" t="s">
        <v>346</v>
      </c>
    </row>
    <row r="58" spans="2:13" x14ac:dyDescent="0.2">
      <c r="H58" s="172"/>
      <c r="I58" s="172"/>
      <c r="J58" s="172"/>
      <c r="K58" s="172"/>
      <c r="L58" s="172"/>
      <c r="M58" s="172"/>
    </row>
  </sheetData>
  <mergeCells count="19">
    <mergeCell ref="B1:M1"/>
    <mergeCell ref="B2:M2"/>
    <mergeCell ref="B3:M3"/>
    <mergeCell ref="B4:M4"/>
    <mergeCell ref="B5:M5"/>
    <mergeCell ref="D6:D8"/>
    <mergeCell ref="B42:M42"/>
    <mergeCell ref="B44:M44"/>
    <mergeCell ref="B46:M46"/>
    <mergeCell ref="B50:M50"/>
    <mergeCell ref="B9:M9"/>
    <mergeCell ref="C28:C38"/>
    <mergeCell ref="G19:G21"/>
    <mergeCell ref="G31:G33"/>
    <mergeCell ref="C10:C27"/>
    <mergeCell ref="B10:B39"/>
    <mergeCell ref="G36:G38"/>
    <mergeCell ref="G13:G18"/>
    <mergeCell ref="B6:B8"/>
  </mergeCells>
  <pageMargins left="0.7" right="0.7" top="0.75" bottom="0.75" header="0.3" footer="0.3"/>
  <pageSetup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7"/>
  <sheetViews>
    <sheetView view="pageBreakPreview" zoomScale="70" zoomScaleNormal="100" zoomScaleSheetLayoutView="70" workbookViewId="0">
      <pane ySplit="5" topLeftCell="A6" activePane="bottomLeft" state="frozen"/>
      <selection activeCell="B4" sqref="B4:M4"/>
      <selection pane="bottomLeft" activeCell="A6" sqref="A6"/>
    </sheetView>
  </sheetViews>
  <sheetFormatPr defaultRowHeight="15" x14ac:dyDescent="0.25"/>
  <cols>
    <col min="11" max="11" width="22.28515625" style="19" bestFit="1" customWidth="1"/>
    <col min="12" max="12" width="22.7109375" style="19" bestFit="1" customWidth="1"/>
    <col min="13" max="13" width="21.28515625" style="19" bestFit="1" customWidth="1"/>
    <col min="14" max="14" width="17.7109375" style="19" bestFit="1" customWidth="1"/>
    <col min="15" max="15" width="16.5703125" style="19" bestFit="1" customWidth="1"/>
    <col min="16" max="16" width="16.5703125" style="19" customWidth="1"/>
    <col min="17" max="17" width="20.5703125" style="19" bestFit="1" customWidth="1"/>
    <col min="18" max="18" width="20.5703125" style="19" customWidth="1"/>
    <col min="19" max="19" width="20.5703125" style="19" bestFit="1" customWidth="1"/>
    <col min="20" max="20" width="18.7109375" style="19" bestFit="1" customWidth="1"/>
    <col min="21" max="21" width="19.140625" style="19" bestFit="1" customWidth="1"/>
    <col min="22" max="23" width="14.85546875" style="19" bestFit="1" customWidth="1"/>
    <col min="24" max="24" width="19.140625" style="19" customWidth="1"/>
    <col min="25" max="26" width="14.85546875" style="19" bestFit="1" customWidth="1"/>
  </cols>
  <sheetData>
    <row r="1" spans="1:26" x14ac:dyDescent="0.25">
      <c r="A1" s="18" t="s">
        <v>349</v>
      </c>
    </row>
    <row r="2" spans="1:26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3" t="s">
        <v>82</v>
      </c>
      <c r="M2" s="23" t="s">
        <v>83</v>
      </c>
      <c r="N2" s="23" t="s">
        <v>84</v>
      </c>
      <c r="O2" s="22"/>
      <c r="P2" s="22"/>
      <c r="Q2" s="23" t="s">
        <v>85</v>
      </c>
      <c r="R2" s="23"/>
      <c r="S2" s="23" t="s">
        <v>85</v>
      </c>
      <c r="T2" s="23" t="s">
        <v>85</v>
      </c>
      <c r="U2" s="23" t="s">
        <v>86</v>
      </c>
      <c r="V2" s="23" t="s">
        <v>95</v>
      </c>
      <c r="W2" s="22"/>
      <c r="X2" s="23" t="s">
        <v>86</v>
      </c>
      <c r="Y2" s="23"/>
      <c r="Z2" s="24" t="s">
        <v>87</v>
      </c>
    </row>
    <row r="3" spans="1:26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  <c r="L3" s="28" t="s">
        <v>88</v>
      </c>
      <c r="M3" s="28" t="s">
        <v>89</v>
      </c>
      <c r="N3" s="28" t="s">
        <v>90</v>
      </c>
      <c r="O3" s="28" t="s">
        <v>91</v>
      </c>
      <c r="P3" s="28" t="s">
        <v>103</v>
      </c>
      <c r="Q3" s="28" t="s">
        <v>92</v>
      </c>
      <c r="R3" s="28" t="s">
        <v>324</v>
      </c>
      <c r="S3" s="28" t="s">
        <v>92</v>
      </c>
      <c r="T3" s="28" t="s">
        <v>93</v>
      </c>
      <c r="U3" s="28" t="s">
        <v>94</v>
      </c>
      <c r="V3" s="28" t="s">
        <v>98</v>
      </c>
      <c r="W3" s="28" t="s">
        <v>95</v>
      </c>
      <c r="X3" s="28" t="s">
        <v>96</v>
      </c>
      <c r="Y3" s="28" t="s">
        <v>97</v>
      </c>
      <c r="Z3" s="29" t="s">
        <v>98</v>
      </c>
    </row>
    <row r="4" spans="1:26" x14ac:dyDescent="0.25">
      <c r="A4" s="30"/>
      <c r="B4" s="26"/>
      <c r="C4" s="26"/>
      <c r="D4" s="26"/>
      <c r="E4" s="26"/>
      <c r="F4" s="26"/>
      <c r="G4" s="26"/>
      <c r="H4" s="26"/>
      <c r="I4" s="26"/>
      <c r="J4" s="26"/>
      <c r="K4" s="28" t="s">
        <v>99</v>
      </c>
      <c r="L4" s="28" t="s">
        <v>100</v>
      </c>
      <c r="M4" s="28" t="s">
        <v>101</v>
      </c>
      <c r="N4" s="28" t="s">
        <v>102</v>
      </c>
      <c r="O4" s="28" t="s">
        <v>103</v>
      </c>
      <c r="P4" s="28" t="s">
        <v>104</v>
      </c>
      <c r="Q4" s="28" t="s">
        <v>104</v>
      </c>
      <c r="R4" s="28" t="s">
        <v>105</v>
      </c>
      <c r="S4" s="28" t="s">
        <v>105</v>
      </c>
      <c r="T4" s="28" t="s">
        <v>106</v>
      </c>
      <c r="U4" s="28" t="s">
        <v>93</v>
      </c>
      <c r="V4" s="28" t="s">
        <v>108</v>
      </c>
      <c r="W4" s="28" t="s">
        <v>107</v>
      </c>
      <c r="X4" s="28" t="s">
        <v>93</v>
      </c>
      <c r="Y4" s="28" t="s">
        <v>107</v>
      </c>
      <c r="Z4" s="29" t="s">
        <v>108</v>
      </c>
    </row>
    <row r="5" spans="1:26" x14ac:dyDescent="0.25">
      <c r="A5" s="209" t="s">
        <v>109</v>
      </c>
      <c r="B5" s="210"/>
      <c r="C5" s="210"/>
      <c r="D5" s="210"/>
      <c r="E5" s="210"/>
      <c r="F5" s="210"/>
      <c r="G5" s="210"/>
      <c r="H5" s="210"/>
      <c r="I5" s="210"/>
      <c r="J5" s="31"/>
      <c r="K5" s="32" t="s">
        <v>110</v>
      </c>
      <c r="L5" s="32" t="s">
        <v>50</v>
      </c>
      <c r="M5" s="32" t="s">
        <v>51</v>
      </c>
      <c r="N5" s="32" t="s">
        <v>52</v>
      </c>
      <c r="O5" s="32" t="s">
        <v>53</v>
      </c>
      <c r="P5" s="106" t="s">
        <v>54</v>
      </c>
      <c r="Q5" s="32" t="s">
        <v>55</v>
      </c>
      <c r="R5" s="106" t="s">
        <v>56</v>
      </c>
      <c r="S5" s="32" t="s">
        <v>57</v>
      </c>
      <c r="T5" s="32" t="s">
        <v>58</v>
      </c>
      <c r="U5" s="32" t="s">
        <v>59</v>
      </c>
      <c r="V5" s="32" t="s">
        <v>62</v>
      </c>
      <c r="W5" s="32" t="s">
        <v>321</v>
      </c>
      <c r="X5" s="32" t="s">
        <v>298</v>
      </c>
      <c r="Y5" s="32" t="s">
        <v>322</v>
      </c>
      <c r="Z5" s="33" t="s">
        <v>323</v>
      </c>
    </row>
    <row r="6" spans="1:26" x14ac:dyDescent="0.25">
      <c r="A6" s="20" t="s">
        <v>112</v>
      </c>
      <c r="B6" s="21"/>
      <c r="C6" s="21"/>
      <c r="D6" s="21"/>
      <c r="E6" s="21"/>
      <c r="F6" s="21"/>
      <c r="G6" s="21"/>
      <c r="H6" s="21"/>
      <c r="I6" s="21"/>
      <c r="J6" s="2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34"/>
    </row>
    <row r="7" spans="1:26" x14ac:dyDescent="0.25">
      <c r="A7" s="30" t="s">
        <v>113</v>
      </c>
      <c r="B7" s="26"/>
      <c r="C7" s="26"/>
      <c r="D7" s="26"/>
      <c r="E7" s="26" t="s">
        <v>114</v>
      </c>
      <c r="F7" s="26"/>
      <c r="G7" s="26"/>
      <c r="H7" s="26"/>
      <c r="I7" s="26"/>
      <c r="J7" s="26"/>
      <c r="K7" s="27" t="s">
        <v>115</v>
      </c>
      <c r="L7" s="27">
        <v>12</v>
      </c>
      <c r="M7" s="27">
        <v>24</v>
      </c>
      <c r="N7" s="27">
        <v>12</v>
      </c>
      <c r="O7" s="27">
        <v>12</v>
      </c>
      <c r="P7" s="27">
        <v>12</v>
      </c>
      <c r="Q7" s="27">
        <v>12</v>
      </c>
      <c r="R7" s="27">
        <v>12</v>
      </c>
      <c r="S7" s="27">
        <v>12</v>
      </c>
      <c r="T7" s="27">
        <v>12</v>
      </c>
      <c r="U7" s="27">
        <v>12</v>
      </c>
      <c r="V7" s="27">
        <v>24</v>
      </c>
      <c r="W7" s="27">
        <v>12</v>
      </c>
      <c r="X7" s="27">
        <v>12</v>
      </c>
      <c r="Y7" s="27">
        <v>12</v>
      </c>
      <c r="Z7" s="35">
        <v>24</v>
      </c>
    </row>
    <row r="8" spans="1:26" x14ac:dyDescent="0.25">
      <c r="A8" s="30"/>
      <c r="B8" s="26" t="s">
        <v>116</v>
      </c>
      <c r="C8" s="26"/>
      <c r="D8" s="26"/>
      <c r="E8" s="26" t="s">
        <v>117</v>
      </c>
      <c r="F8" s="26"/>
      <c r="G8" s="26"/>
      <c r="H8" s="26"/>
      <c r="I8" s="26"/>
      <c r="J8" s="26"/>
      <c r="K8" s="27" t="s">
        <v>118</v>
      </c>
      <c r="L8" s="27">
        <v>365</v>
      </c>
      <c r="M8" s="27">
        <v>365</v>
      </c>
      <c r="N8" s="27">
        <v>365</v>
      </c>
      <c r="O8" s="27">
        <v>365</v>
      </c>
      <c r="P8" s="27">
        <v>365</v>
      </c>
      <c r="Q8" s="27">
        <v>365</v>
      </c>
      <c r="R8" s="27">
        <v>365</v>
      </c>
      <c r="S8" s="27">
        <v>365</v>
      </c>
      <c r="T8" s="27">
        <v>365</v>
      </c>
      <c r="U8" s="27">
        <v>365</v>
      </c>
      <c r="V8" s="27">
        <v>365</v>
      </c>
      <c r="W8" s="27">
        <v>365</v>
      </c>
      <c r="X8" s="27">
        <v>365</v>
      </c>
      <c r="Y8" s="27">
        <v>365</v>
      </c>
      <c r="Z8" s="35">
        <v>365</v>
      </c>
    </row>
    <row r="9" spans="1:26" x14ac:dyDescent="0.25">
      <c r="A9" s="30"/>
      <c r="B9" s="26"/>
      <c r="C9" s="26"/>
      <c r="D9" s="26"/>
      <c r="E9" s="26"/>
      <c r="F9" s="26"/>
      <c r="G9" s="26"/>
      <c r="H9" s="26"/>
      <c r="I9" s="26"/>
      <c r="J9" s="26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35"/>
    </row>
    <row r="10" spans="1:26" x14ac:dyDescent="0.25">
      <c r="A10" s="25" t="s">
        <v>119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35"/>
    </row>
    <row r="11" spans="1:26" x14ac:dyDescent="0.25">
      <c r="A11" s="30" t="s">
        <v>120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7" t="s">
        <v>121</v>
      </c>
      <c r="M11" s="27" t="s">
        <v>121</v>
      </c>
      <c r="N11" s="27" t="s">
        <v>121</v>
      </c>
      <c r="O11" s="27" t="s">
        <v>121</v>
      </c>
      <c r="P11" s="27" t="s">
        <v>121</v>
      </c>
      <c r="Q11" s="27" t="s">
        <v>121</v>
      </c>
      <c r="R11" s="27" t="s">
        <v>121</v>
      </c>
      <c r="S11" s="27" t="s">
        <v>121</v>
      </c>
      <c r="T11" s="27" t="s">
        <v>121</v>
      </c>
      <c r="U11" s="27" t="s">
        <v>121</v>
      </c>
      <c r="V11" s="27" t="s">
        <v>121</v>
      </c>
      <c r="W11" s="27" t="s">
        <v>121</v>
      </c>
      <c r="X11" s="27" t="s">
        <v>121</v>
      </c>
      <c r="Y11" s="27" t="s">
        <v>121</v>
      </c>
      <c r="Z11" s="35" t="s">
        <v>121</v>
      </c>
    </row>
    <row r="12" spans="1:26" x14ac:dyDescent="0.25">
      <c r="A12" s="30" t="s">
        <v>122</v>
      </c>
      <c r="B12" s="26"/>
      <c r="C12" s="26"/>
      <c r="D12" s="26"/>
      <c r="E12" s="26"/>
      <c r="F12" s="26"/>
      <c r="G12" s="26"/>
      <c r="H12" s="26"/>
      <c r="I12" s="26"/>
      <c r="J12" s="26"/>
      <c r="K12" s="27"/>
      <c r="L12" s="27">
        <v>168</v>
      </c>
      <c r="M12" s="27">
        <v>84</v>
      </c>
      <c r="N12" s="27">
        <v>168</v>
      </c>
      <c r="O12" s="27">
        <v>168</v>
      </c>
      <c r="P12" s="27">
        <v>168</v>
      </c>
      <c r="Q12" s="27">
        <v>168</v>
      </c>
      <c r="R12" s="27">
        <v>168</v>
      </c>
      <c r="S12" s="27">
        <v>168</v>
      </c>
      <c r="T12" s="27">
        <v>168</v>
      </c>
      <c r="U12" s="27">
        <v>168</v>
      </c>
      <c r="V12" s="27">
        <v>168</v>
      </c>
      <c r="W12" s="27">
        <v>168</v>
      </c>
      <c r="X12" s="27">
        <v>168</v>
      </c>
      <c r="Y12" s="27">
        <v>168</v>
      </c>
      <c r="Z12" s="35">
        <v>168</v>
      </c>
    </row>
    <row r="13" spans="1:26" x14ac:dyDescent="0.25">
      <c r="A13" s="30"/>
      <c r="B13" s="26"/>
      <c r="C13" s="26" t="s">
        <v>123</v>
      </c>
      <c r="D13" s="26"/>
      <c r="E13" s="26" t="s">
        <v>124</v>
      </c>
      <c r="F13" s="26"/>
      <c r="G13" s="26"/>
      <c r="H13" s="26"/>
      <c r="I13" s="26"/>
      <c r="J13" s="26"/>
      <c r="K13" s="27" t="s">
        <v>125</v>
      </c>
      <c r="L13" s="36">
        <v>2018</v>
      </c>
      <c r="M13" s="36">
        <v>2018</v>
      </c>
      <c r="N13" s="36">
        <v>2018</v>
      </c>
      <c r="O13" s="36">
        <v>2018</v>
      </c>
      <c r="P13" s="36">
        <v>2018</v>
      </c>
      <c r="Q13" s="36">
        <v>2018</v>
      </c>
      <c r="R13" s="36">
        <v>2018</v>
      </c>
      <c r="S13" s="36">
        <v>2018</v>
      </c>
      <c r="T13" s="36">
        <v>2018</v>
      </c>
      <c r="U13" s="36">
        <v>2018</v>
      </c>
      <c r="V13" s="36">
        <v>2018</v>
      </c>
      <c r="W13" s="36">
        <v>2018</v>
      </c>
      <c r="X13" s="36">
        <v>2018</v>
      </c>
      <c r="Y13" s="36">
        <v>2018</v>
      </c>
      <c r="Z13" s="37">
        <v>2018</v>
      </c>
    </row>
    <row r="14" spans="1:26" x14ac:dyDescent="0.25">
      <c r="A14" s="30"/>
      <c r="B14" s="26"/>
      <c r="C14" s="26" t="s">
        <v>126</v>
      </c>
      <c r="D14" s="26"/>
      <c r="E14" s="26" t="s">
        <v>117</v>
      </c>
      <c r="F14" s="26"/>
      <c r="G14" s="26"/>
      <c r="H14" s="26"/>
      <c r="I14" s="26"/>
      <c r="J14" s="26"/>
      <c r="K14" s="27" t="s">
        <v>127</v>
      </c>
      <c r="L14" s="36">
        <v>736547</v>
      </c>
      <c r="M14" s="36">
        <v>736547</v>
      </c>
      <c r="N14" s="36">
        <v>736547</v>
      </c>
      <c r="O14" s="36">
        <v>736547</v>
      </c>
      <c r="P14" s="36">
        <v>736547</v>
      </c>
      <c r="Q14" s="36">
        <v>736547</v>
      </c>
      <c r="R14" s="36">
        <v>736547</v>
      </c>
      <c r="S14" s="36">
        <v>736547</v>
      </c>
      <c r="T14" s="36">
        <v>736547</v>
      </c>
      <c r="U14" s="36">
        <v>736547</v>
      </c>
      <c r="V14" s="36">
        <v>736547</v>
      </c>
      <c r="W14" s="36">
        <v>736547</v>
      </c>
      <c r="X14" s="36">
        <v>736547</v>
      </c>
      <c r="Y14" s="36">
        <v>736547</v>
      </c>
      <c r="Z14" s="37">
        <v>736547</v>
      </c>
    </row>
    <row r="15" spans="1:26" x14ac:dyDescent="0.25">
      <c r="A15" s="30" t="s">
        <v>128</v>
      </c>
      <c r="B15" s="26"/>
      <c r="C15" s="26"/>
      <c r="D15" s="26"/>
      <c r="E15" s="26"/>
      <c r="F15" s="26"/>
      <c r="G15" s="26"/>
      <c r="H15" s="26"/>
      <c r="I15" s="26"/>
      <c r="J15" s="26"/>
      <c r="K15" s="27" t="s">
        <v>40</v>
      </c>
      <c r="L15" s="27" t="s">
        <v>129</v>
      </c>
      <c r="M15" s="27" t="s">
        <v>129</v>
      </c>
      <c r="N15" s="27">
        <v>35</v>
      </c>
      <c r="O15" s="27">
        <v>35</v>
      </c>
      <c r="P15" s="27">
        <v>35</v>
      </c>
      <c r="Q15" s="27">
        <v>35</v>
      </c>
      <c r="R15" s="27">
        <v>35</v>
      </c>
      <c r="S15" s="27">
        <v>35</v>
      </c>
      <c r="T15" s="27">
        <v>35</v>
      </c>
      <c r="U15" s="27">
        <v>35</v>
      </c>
      <c r="V15" s="27">
        <v>35</v>
      </c>
      <c r="W15" s="27">
        <v>35</v>
      </c>
      <c r="X15" s="27">
        <v>35</v>
      </c>
      <c r="Y15" s="27">
        <v>35</v>
      </c>
      <c r="Z15" s="35">
        <v>35</v>
      </c>
    </row>
    <row r="16" spans="1:26" x14ac:dyDescent="0.25">
      <c r="A16" s="30"/>
      <c r="B16" s="26"/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35"/>
    </row>
    <row r="17" spans="1:26" x14ac:dyDescent="0.25">
      <c r="A17" s="30" t="s">
        <v>130</v>
      </c>
      <c r="B17" s="26"/>
      <c r="C17" s="26"/>
      <c r="D17" s="26"/>
      <c r="E17" s="26"/>
      <c r="F17" s="26"/>
      <c r="G17" s="26"/>
      <c r="H17" s="26"/>
      <c r="I17" s="26"/>
      <c r="J17" s="26"/>
      <c r="K17" s="27" t="s">
        <v>131</v>
      </c>
      <c r="L17" s="27" t="s">
        <v>129</v>
      </c>
      <c r="M17" s="27" t="s">
        <v>129</v>
      </c>
      <c r="N17" s="27">
        <v>1</v>
      </c>
      <c r="O17" s="27">
        <v>1</v>
      </c>
      <c r="P17" s="27">
        <v>1</v>
      </c>
      <c r="Q17" s="27">
        <v>1</v>
      </c>
      <c r="R17" s="27">
        <v>1</v>
      </c>
      <c r="S17" s="27">
        <v>1</v>
      </c>
      <c r="T17" s="27">
        <v>1</v>
      </c>
      <c r="U17" s="27">
        <v>1</v>
      </c>
      <c r="V17" s="27" t="s">
        <v>129</v>
      </c>
      <c r="W17" s="27">
        <v>1</v>
      </c>
      <c r="X17" s="27">
        <v>1</v>
      </c>
      <c r="Y17" s="27">
        <v>1</v>
      </c>
      <c r="Z17" s="35" t="s">
        <v>129</v>
      </c>
    </row>
    <row r="18" spans="1:26" x14ac:dyDescent="0.25">
      <c r="A18" s="30" t="s">
        <v>132</v>
      </c>
      <c r="B18" s="26"/>
      <c r="C18" s="26"/>
      <c r="D18" s="26"/>
      <c r="E18" s="26" t="s">
        <v>133</v>
      </c>
      <c r="F18" s="26"/>
      <c r="G18" s="26"/>
      <c r="H18" s="26"/>
      <c r="I18" s="26"/>
      <c r="J18" s="26"/>
      <c r="K18" s="27" t="s">
        <v>131</v>
      </c>
      <c r="L18" s="27">
        <v>117</v>
      </c>
      <c r="M18" s="27">
        <v>40.1</v>
      </c>
      <c r="N18" s="27" t="s">
        <v>129</v>
      </c>
      <c r="O18" s="27" t="s">
        <v>129</v>
      </c>
      <c r="P18" s="27" t="s">
        <v>129</v>
      </c>
      <c r="Q18" s="27" t="s">
        <v>129</v>
      </c>
      <c r="R18" s="27" t="s">
        <v>129</v>
      </c>
      <c r="S18" s="27" t="s">
        <v>129</v>
      </c>
      <c r="T18" s="27" t="s">
        <v>129</v>
      </c>
      <c r="U18" s="27" t="s">
        <v>129</v>
      </c>
      <c r="V18" s="27" t="s">
        <v>129</v>
      </c>
      <c r="W18" s="27" t="s">
        <v>129</v>
      </c>
      <c r="X18" s="27" t="s">
        <v>129</v>
      </c>
      <c r="Y18" s="27" t="s">
        <v>129</v>
      </c>
      <c r="Z18" s="35" t="s">
        <v>129</v>
      </c>
    </row>
    <row r="19" spans="1:26" x14ac:dyDescent="0.25">
      <c r="A19" s="30" t="s">
        <v>134</v>
      </c>
      <c r="B19" s="26"/>
      <c r="C19" s="26"/>
      <c r="D19" s="26"/>
      <c r="E19" s="26" t="s">
        <v>133</v>
      </c>
      <c r="F19" s="26"/>
      <c r="G19" s="26"/>
      <c r="H19" s="26"/>
      <c r="I19" s="26"/>
      <c r="J19" s="26"/>
      <c r="K19" s="27" t="s">
        <v>131</v>
      </c>
      <c r="L19" s="27">
        <v>1.4</v>
      </c>
      <c r="M19" s="27">
        <v>0.3</v>
      </c>
      <c r="N19" s="27" t="s">
        <v>129</v>
      </c>
      <c r="O19" s="27" t="s">
        <v>129</v>
      </c>
      <c r="P19" s="27" t="s">
        <v>129</v>
      </c>
      <c r="Q19" s="27" t="s">
        <v>129</v>
      </c>
      <c r="R19" s="27" t="s">
        <v>129</v>
      </c>
      <c r="S19" s="27" t="s">
        <v>129</v>
      </c>
      <c r="T19" s="27" t="s">
        <v>129</v>
      </c>
      <c r="U19" s="27" t="s">
        <v>129</v>
      </c>
      <c r="V19" s="27" t="s">
        <v>129</v>
      </c>
      <c r="W19" s="27" t="s">
        <v>129</v>
      </c>
      <c r="X19" s="27" t="s">
        <v>129</v>
      </c>
      <c r="Y19" s="27" t="s">
        <v>129</v>
      </c>
      <c r="Z19" s="35" t="s">
        <v>129</v>
      </c>
    </row>
    <row r="20" spans="1:26" x14ac:dyDescent="0.25">
      <c r="A20" s="30" t="s">
        <v>135</v>
      </c>
      <c r="B20" s="26"/>
      <c r="C20" s="26"/>
      <c r="D20" s="26"/>
      <c r="E20" s="26" t="s">
        <v>133</v>
      </c>
      <c r="F20" s="26"/>
      <c r="G20" s="26"/>
      <c r="H20" s="26"/>
      <c r="I20" s="26"/>
      <c r="J20" s="26"/>
      <c r="K20" s="27" t="s">
        <v>131</v>
      </c>
      <c r="L20" s="27">
        <v>81</v>
      </c>
      <c r="M20" s="27">
        <v>159</v>
      </c>
      <c r="N20" s="27" t="s">
        <v>129</v>
      </c>
      <c r="O20" s="27" t="s">
        <v>129</v>
      </c>
      <c r="P20" s="27" t="s">
        <v>129</v>
      </c>
      <c r="Q20" s="27" t="s">
        <v>129</v>
      </c>
      <c r="R20" s="27" t="s">
        <v>129</v>
      </c>
      <c r="S20" s="27" t="s">
        <v>129</v>
      </c>
      <c r="T20" s="27" t="s">
        <v>129</v>
      </c>
      <c r="U20" s="27" t="s">
        <v>129</v>
      </c>
      <c r="V20" s="27" t="s">
        <v>129</v>
      </c>
      <c r="W20" s="27" t="s">
        <v>129</v>
      </c>
      <c r="X20" s="27" t="s">
        <v>129</v>
      </c>
      <c r="Y20" s="27" t="s">
        <v>129</v>
      </c>
      <c r="Z20" s="35" t="s">
        <v>129</v>
      </c>
    </row>
    <row r="21" spans="1:26" x14ac:dyDescent="0.25">
      <c r="A21" s="30"/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35"/>
    </row>
    <row r="22" spans="1:26" x14ac:dyDescent="0.25">
      <c r="A22" s="25" t="s">
        <v>136</v>
      </c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35"/>
    </row>
    <row r="23" spans="1:26" x14ac:dyDescent="0.25">
      <c r="A23" s="30" t="s">
        <v>137</v>
      </c>
      <c r="B23" s="26"/>
      <c r="C23" s="26"/>
      <c r="D23" s="26"/>
      <c r="E23" s="26"/>
      <c r="F23" s="26"/>
      <c r="G23" s="26"/>
      <c r="H23" s="26"/>
      <c r="I23" s="26"/>
      <c r="J23" s="26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4" t="s">
        <v>138</v>
      </c>
      <c r="W23" s="44"/>
      <c r="X23" s="44"/>
      <c r="Y23" s="44"/>
      <c r="Z23" s="57" t="s">
        <v>138</v>
      </c>
    </row>
    <row r="24" spans="1:26" x14ac:dyDescent="0.25">
      <c r="A24" s="30" t="s">
        <v>139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44">
        <v>40</v>
      </c>
      <c r="W24" s="44"/>
      <c r="X24" s="44"/>
      <c r="Y24" s="44"/>
      <c r="Z24" s="57">
        <v>40</v>
      </c>
    </row>
    <row r="25" spans="1:26" x14ac:dyDescent="0.25">
      <c r="A25" s="30" t="s">
        <v>140</v>
      </c>
      <c r="B25" s="26"/>
      <c r="C25" s="26"/>
      <c r="D25" s="26"/>
      <c r="E25" s="26"/>
      <c r="F25" s="26"/>
      <c r="G25" s="26"/>
      <c r="H25" s="26"/>
      <c r="I25" s="26"/>
      <c r="J25" s="26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44">
        <v>425</v>
      </c>
      <c r="W25" s="44"/>
      <c r="X25" s="44"/>
      <c r="Y25" s="44"/>
      <c r="Z25" s="57">
        <v>425</v>
      </c>
    </row>
    <row r="26" spans="1:26" ht="17.25" x14ac:dyDescent="0.25">
      <c r="A26" s="30" t="s">
        <v>141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124">
        <v>141484</v>
      </c>
      <c r="W26" s="44"/>
      <c r="X26" s="44"/>
      <c r="Y26" s="44"/>
      <c r="Z26" s="105">
        <v>141484</v>
      </c>
    </row>
    <row r="27" spans="1:26" x14ac:dyDescent="0.25">
      <c r="A27" s="30" t="s">
        <v>142</v>
      </c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44">
        <v>3.25</v>
      </c>
      <c r="W27" s="44"/>
      <c r="X27" s="44"/>
      <c r="Y27" s="44"/>
      <c r="Z27" s="57">
        <v>3.25</v>
      </c>
    </row>
    <row r="28" spans="1:26" x14ac:dyDescent="0.25">
      <c r="A28" s="30"/>
      <c r="B28" s="26"/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35"/>
    </row>
    <row r="29" spans="1:26" x14ac:dyDescent="0.25">
      <c r="A29" s="25" t="s">
        <v>143</v>
      </c>
      <c r="B29" s="26"/>
      <c r="C29" s="26"/>
      <c r="D29" s="26"/>
      <c r="E29" s="26"/>
      <c r="F29" s="26"/>
      <c r="G29" s="26"/>
      <c r="H29" s="26"/>
      <c r="I29" s="26"/>
      <c r="J29" s="2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35"/>
    </row>
    <row r="30" spans="1:26" x14ac:dyDescent="0.25">
      <c r="A30" s="30" t="s">
        <v>144</v>
      </c>
      <c r="B30" s="26"/>
      <c r="C30" s="26"/>
      <c r="D30" s="26"/>
      <c r="E30" s="26" t="s">
        <v>124</v>
      </c>
      <c r="F30" s="26"/>
      <c r="G30" s="26"/>
      <c r="H30" s="26"/>
      <c r="I30" s="26"/>
      <c r="J30" s="26"/>
      <c r="K30" s="27" t="s">
        <v>145</v>
      </c>
      <c r="L30" s="38">
        <v>14.54</v>
      </c>
      <c r="M30" s="38">
        <v>14.54</v>
      </c>
      <c r="N30" s="38">
        <v>14.54</v>
      </c>
      <c r="O30" s="38">
        <v>14.54</v>
      </c>
      <c r="P30" s="38">
        <v>14.54</v>
      </c>
      <c r="Q30" s="38">
        <v>14.54</v>
      </c>
      <c r="R30" s="38">
        <v>14.54</v>
      </c>
      <c r="S30" s="38">
        <v>14.54</v>
      </c>
      <c r="T30" s="38">
        <v>14.54</v>
      </c>
      <c r="U30" s="38">
        <v>14.54</v>
      </c>
      <c r="V30" s="38">
        <v>14.54</v>
      </c>
      <c r="W30" s="38">
        <v>14.54</v>
      </c>
      <c r="X30" s="38">
        <v>14.54</v>
      </c>
      <c r="Y30" s="38">
        <v>14.54</v>
      </c>
      <c r="Z30" s="39">
        <v>14.54</v>
      </c>
    </row>
    <row r="31" spans="1:26" x14ac:dyDescent="0.25">
      <c r="A31" s="30"/>
      <c r="B31" s="26"/>
      <c r="C31" s="26"/>
      <c r="D31" s="26"/>
      <c r="E31" s="26" t="s">
        <v>117</v>
      </c>
      <c r="F31" s="26"/>
      <c r="G31" s="26"/>
      <c r="H31" s="26"/>
      <c r="I31" s="26"/>
      <c r="J31" s="26"/>
      <c r="K31" s="27" t="s">
        <v>145</v>
      </c>
      <c r="L31" s="38">
        <v>7.27</v>
      </c>
      <c r="M31" s="38">
        <v>7.27</v>
      </c>
      <c r="N31" s="38">
        <v>7.27</v>
      </c>
      <c r="O31" s="38">
        <v>7.27</v>
      </c>
      <c r="P31" s="38">
        <v>7.27</v>
      </c>
      <c r="Q31" s="38">
        <v>7.27</v>
      </c>
      <c r="R31" s="38">
        <v>7.27</v>
      </c>
      <c r="S31" s="38">
        <v>7.27</v>
      </c>
      <c r="T31" s="38">
        <v>7.27</v>
      </c>
      <c r="U31" s="38">
        <v>7.27</v>
      </c>
      <c r="V31" s="38">
        <v>7.27</v>
      </c>
      <c r="W31" s="38">
        <v>7.27</v>
      </c>
      <c r="X31" s="38">
        <v>7.27</v>
      </c>
      <c r="Y31" s="38">
        <v>7.27</v>
      </c>
      <c r="Z31" s="39">
        <v>7.27</v>
      </c>
    </row>
    <row r="32" spans="1:26" x14ac:dyDescent="0.25">
      <c r="A32" s="30"/>
      <c r="B32" s="26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35"/>
    </row>
    <row r="33" spans="1:26" x14ac:dyDescent="0.25">
      <c r="A33" s="30" t="s">
        <v>146</v>
      </c>
      <c r="B33" s="26"/>
      <c r="C33" s="26"/>
      <c r="D33" s="26"/>
      <c r="E33" s="26"/>
      <c r="F33" s="26"/>
      <c r="G33" s="26"/>
      <c r="H33" s="26"/>
      <c r="I33" s="26"/>
      <c r="J33" s="26"/>
      <c r="K33" s="27"/>
      <c r="L33" s="27">
        <v>1.0999999999999999E-2</v>
      </c>
      <c r="M33" s="27">
        <v>4.9000000000000004</v>
      </c>
      <c r="N33" s="27">
        <v>0.74</v>
      </c>
      <c r="O33" s="27">
        <v>0.74</v>
      </c>
      <c r="P33" s="27">
        <v>0.74</v>
      </c>
      <c r="Q33" s="27">
        <v>0.74</v>
      </c>
      <c r="R33" s="27">
        <v>0.74</v>
      </c>
      <c r="S33" s="27">
        <v>0.74</v>
      </c>
      <c r="T33" s="27">
        <v>0.74</v>
      </c>
      <c r="U33" s="27">
        <v>0.74</v>
      </c>
      <c r="V33" s="27">
        <v>1</v>
      </c>
      <c r="W33" s="27">
        <v>0.74</v>
      </c>
      <c r="X33" s="27">
        <v>0.74</v>
      </c>
      <c r="Y33" s="27">
        <v>0.74</v>
      </c>
      <c r="Z33" s="35">
        <v>1</v>
      </c>
    </row>
    <row r="34" spans="1:26" ht="18" x14ac:dyDescent="0.35">
      <c r="A34" s="30" t="s">
        <v>147</v>
      </c>
      <c r="B34" s="26"/>
      <c r="C34" s="26"/>
      <c r="D34" s="26"/>
      <c r="E34" s="26"/>
      <c r="F34" s="26"/>
      <c r="G34" s="26"/>
      <c r="H34" s="26"/>
      <c r="I34" s="26"/>
      <c r="J34" s="26"/>
      <c r="K34" s="27"/>
      <c r="L34" s="27">
        <v>2.2000000000000001E-3</v>
      </c>
      <c r="M34" s="27">
        <v>1.5</v>
      </c>
      <c r="N34" s="27">
        <v>0.35</v>
      </c>
      <c r="O34" s="27">
        <v>0.35</v>
      </c>
      <c r="P34" s="27">
        <v>0.35</v>
      </c>
      <c r="Q34" s="27">
        <v>0.35</v>
      </c>
      <c r="R34" s="27">
        <v>0.35</v>
      </c>
      <c r="S34" s="27">
        <v>0.35</v>
      </c>
      <c r="T34" s="27">
        <v>0.35</v>
      </c>
      <c r="U34" s="27">
        <v>0.35</v>
      </c>
      <c r="V34" s="27">
        <v>0.5</v>
      </c>
      <c r="W34" s="27">
        <v>0.35</v>
      </c>
      <c r="X34" s="27">
        <v>0.35</v>
      </c>
      <c r="Y34" s="27">
        <v>0.35</v>
      </c>
      <c r="Z34" s="35">
        <v>0.5</v>
      </c>
    </row>
    <row r="35" spans="1:26" ht="18" x14ac:dyDescent="0.35">
      <c r="A35" s="30" t="s">
        <v>148</v>
      </c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7">
        <v>5.4000000000000001E-4</v>
      </c>
      <c r="M35" s="27">
        <v>0.15</v>
      </c>
      <c r="N35" s="27">
        <v>5.2999999999999999E-2</v>
      </c>
      <c r="O35" s="27">
        <v>5.2999999999999999E-2</v>
      </c>
      <c r="P35" s="27">
        <v>5.2999999999999999E-2</v>
      </c>
      <c r="Q35" s="27">
        <v>5.2999999999999999E-2</v>
      </c>
      <c r="R35" s="27">
        <v>5.2999999999999999E-2</v>
      </c>
      <c r="S35" s="27">
        <v>5.2999999999999999E-2</v>
      </c>
      <c r="T35" s="27">
        <v>5.2999999999999999E-2</v>
      </c>
      <c r="U35" s="27">
        <v>5.2999999999999999E-2</v>
      </c>
      <c r="V35" s="27">
        <v>7.4999999999999997E-2</v>
      </c>
      <c r="W35" s="27">
        <v>5.2999999999999999E-2</v>
      </c>
      <c r="X35" s="27">
        <v>5.2999999999999999E-2</v>
      </c>
      <c r="Y35" s="27">
        <v>5.2999999999999999E-2</v>
      </c>
      <c r="Z35" s="35">
        <v>7.4999999999999997E-2</v>
      </c>
    </row>
    <row r="36" spans="1:26" x14ac:dyDescent="0.25">
      <c r="A36" s="30"/>
      <c r="B36" s="26"/>
      <c r="C36" s="26"/>
      <c r="D36" s="26"/>
      <c r="E36" s="26"/>
      <c r="F36" s="26"/>
      <c r="G36" s="26"/>
      <c r="H36" s="26"/>
      <c r="I36" s="26"/>
      <c r="J36" s="26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35"/>
    </row>
    <row r="37" spans="1:26" x14ac:dyDescent="0.25">
      <c r="A37" s="30" t="s">
        <v>149</v>
      </c>
      <c r="B37" s="26"/>
      <c r="C37" s="26"/>
      <c r="D37" s="26"/>
      <c r="E37" s="26" t="s">
        <v>150</v>
      </c>
      <c r="F37" s="26"/>
      <c r="G37" s="26"/>
      <c r="H37" s="26"/>
      <c r="I37" s="26"/>
      <c r="J37" s="26"/>
      <c r="K37" s="27"/>
      <c r="L37" s="27">
        <v>0</v>
      </c>
      <c r="M37" s="27">
        <v>0</v>
      </c>
      <c r="N37" s="27"/>
      <c r="O37" s="27"/>
      <c r="P37" s="27"/>
      <c r="Q37" s="27"/>
      <c r="R37" s="27"/>
      <c r="S37" s="27"/>
      <c r="T37" s="27"/>
      <c r="U37" s="27"/>
      <c r="V37" s="27">
        <v>0</v>
      </c>
      <c r="W37" s="27"/>
      <c r="X37" s="27"/>
      <c r="Y37" s="27"/>
      <c r="Z37" s="35">
        <v>0</v>
      </c>
    </row>
    <row r="38" spans="1:26" x14ac:dyDescent="0.25">
      <c r="A38" s="30" t="s">
        <v>151</v>
      </c>
      <c r="B38" s="26"/>
      <c r="C38" s="26"/>
      <c r="D38" s="26"/>
      <c r="E38" s="26" t="s">
        <v>117</v>
      </c>
      <c r="F38" s="26"/>
      <c r="G38" s="26"/>
      <c r="H38" s="26"/>
      <c r="I38" s="26"/>
      <c r="J38" s="26"/>
      <c r="K38" s="27"/>
      <c r="L38" s="27">
        <v>30</v>
      </c>
      <c r="M38" s="27">
        <v>30</v>
      </c>
      <c r="N38" s="27"/>
      <c r="O38" s="27"/>
      <c r="P38" s="27"/>
      <c r="Q38" s="27"/>
      <c r="R38" s="27"/>
      <c r="S38" s="27"/>
      <c r="T38" s="27"/>
      <c r="U38" s="27"/>
      <c r="V38" s="27">
        <v>30</v>
      </c>
      <c r="W38" s="27"/>
      <c r="X38" s="27"/>
      <c r="Y38" s="27"/>
      <c r="Z38" s="35">
        <v>30</v>
      </c>
    </row>
    <row r="39" spans="1:26" x14ac:dyDescent="0.25">
      <c r="A39" s="30"/>
      <c r="B39" s="26"/>
      <c r="C39" s="26"/>
      <c r="D39" s="26"/>
      <c r="E39" s="26"/>
      <c r="F39" s="26"/>
      <c r="G39" s="26"/>
      <c r="H39" s="26"/>
      <c r="I39" s="26"/>
      <c r="J39" s="26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35"/>
    </row>
    <row r="40" spans="1:26" x14ac:dyDescent="0.25">
      <c r="A40" s="30" t="s">
        <v>152</v>
      </c>
      <c r="B40" s="26"/>
      <c r="C40" s="26"/>
      <c r="D40" s="26"/>
      <c r="E40" s="26" t="s">
        <v>153</v>
      </c>
      <c r="F40" s="26"/>
      <c r="G40" s="26"/>
      <c r="H40" s="26"/>
      <c r="I40" s="26"/>
      <c r="J40" s="26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>
        <v>153</v>
      </c>
      <c r="W40" s="27"/>
      <c r="X40" s="27"/>
      <c r="Y40" s="27"/>
      <c r="Z40" s="35">
        <v>153</v>
      </c>
    </row>
    <row r="41" spans="1:26" x14ac:dyDescent="0.25">
      <c r="A41" s="30" t="s">
        <v>154</v>
      </c>
      <c r="B41" s="26"/>
      <c r="C41" s="26"/>
      <c r="D41" s="26"/>
      <c r="E41" s="26" t="s">
        <v>117</v>
      </c>
      <c r="F41" s="26"/>
      <c r="G41" s="26"/>
      <c r="H41" s="26"/>
      <c r="I41" s="26"/>
      <c r="J41" s="26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>
        <v>30.6</v>
      </c>
      <c r="W41" s="27"/>
      <c r="X41" s="27"/>
      <c r="Y41" s="27"/>
      <c r="Z41" s="35">
        <v>30.6</v>
      </c>
    </row>
    <row r="42" spans="1:26" x14ac:dyDescent="0.25">
      <c r="A42" s="30"/>
      <c r="B42" s="26"/>
      <c r="C42" s="26"/>
      <c r="D42" s="26"/>
      <c r="E42" s="26"/>
      <c r="F42" s="26"/>
      <c r="G42" s="26"/>
      <c r="H42" s="26"/>
      <c r="I42" s="26"/>
      <c r="J42" s="26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35"/>
    </row>
    <row r="43" spans="1:26" x14ac:dyDescent="0.25">
      <c r="A43" s="30" t="s">
        <v>155</v>
      </c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27">
        <v>1</v>
      </c>
      <c r="M43" s="27">
        <v>0.25</v>
      </c>
      <c r="N43" s="27" t="s">
        <v>129</v>
      </c>
      <c r="O43" s="27" t="s">
        <v>129</v>
      </c>
      <c r="P43" s="27" t="s">
        <v>129</v>
      </c>
      <c r="Q43" s="27" t="s">
        <v>129</v>
      </c>
      <c r="R43" s="27" t="s">
        <v>129</v>
      </c>
      <c r="S43" s="27" t="s">
        <v>129</v>
      </c>
      <c r="T43" s="27" t="s">
        <v>129</v>
      </c>
      <c r="U43" s="27" t="s">
        <v>129</v>
      </c>
      <c r="V43" s="27">
        <v>0.25</v>
      </c>
      <c r="W43" s="27"/>
      <c r="X43" s="27" t="s">
        <v>129</v>
      </c>
      <c r="Y43" s="27"/>
      <c r="Z43" s="35">
        <v>0.25</v>
      </c>
    </row>
    <row r="44" spans="1:26" x14ac:dyDescent="0.25">
      <c r="A44" s="30"/>
      <c r="B44" s="26"/>
      <c r="C44" s="26"/>
      <c r="D44" s="26"/>
      <c r="E44" s="26"/>
      <c r="F44" s="26"/>
      <c r="G44" s="26"/>
      <c r="H44" s="26"/>
      <c r="I44" s="26"/>
      <c r="J44" s="26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35"/>
    </row>
    <row r="45" spans="1:26" x14ac:dyDescent="0.25">
      <c r="A45" s="25" t="s">
        <v>156</v>
      </c>
      <c r="B45" s="26"/>
      <c r="C45" s="26"/>
      <c r="D45" s="26"/>
      <c r="E45" s="26"/>
      <c r="F45" s="26"/>
      <c r="G45" s="26"/>
      <c r="H45" s="26"/>
      <c r="I45" s="26"/>
      <c r="J45" s="26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 t="s">
        <v>157</v>
      </c>
      <c r="W45" s="27"/>
      <c r="X45" s="27"/>
      <c r="Y45" s="27"/>
      <c r="Z45" s="35" t="s">
        <v>157</v>
      </c>
    </row>
    <row r="46" spans="1:26" x14ac:dyDescent="0.25">
      <c r="A46" s="30" t="s">
        <v>158</v>
      </c>
      <c r="B46" s="26"/>
      <c r="C46" s="26"/>
      <c r="D46" s="26"/>
      <c r="E46" s="26"/>
      <c r="F46" s="26"/>
      <c r="G46" s="26"/>
      <c r="H46" s="26"/>
      <c r="I46" s="26"/>
      <c r="J46" s="26"/>
      <c r="K46" s="27"/>
      <c r="L46" s="27" t="s">
        <v>159</v>
      </c>
      <c r="M46" s="27" t="s">
        <v>160</v>
      </c>
      <c r="N46" s="27" t="s">
        <v>160</v>
      </c>
      <c r="O46" s="27" t="s">
        <v>160</v>
      </c>
      <c r="P46" s="27" t="s">
        <v>160</v>
      </c>
      <c r="Q46" s="27" t="s">
        <v>161</v>
      </c>
      <c r="R46" s="27" t="s">
        <v>160</v>
      </c>
      <c r="S46" s="27" t="s">
        <v>161</v>
      </c>
      <c r="T46" s="27" t="s">
        <v>160</v>
      </c>
      <c r="U46" s="27" t="s">
        <v>160</v>
      </c>
      <c r="V46" s="27" t="s">
        <v>162</v>
      </c>
      <c r="W46" s="27" t="s">
        <v>159</v>
      </c>
      <c r="X46" s="27" t="s">
        <v>160</v>
      </c>
      <c r="Y46" s="27" t="s">
        <v>159</v>
      </c>
      <c r="Z46" s="35" t="s">
        <v>162</v>
      </c>
    </row>
    <row r="47" spans="1:26" x14ac:dyDescent="0.25">
      <c r="A47" s="30" t="s">
        <v>163</v>
      </c>
      <c r="B47" s="26"/>
      <c r="C47" s="26"/>
      <c r="D47" s="26"/>
      <c r="E47" s="26"/>
      <c r="F47" s="26"/>
      <c r="G47" s="26"/>
      <c r="H47" s="26"/>
      <c r="I47" s="26"/>
      <c r="J47" s="26"/>
      <c r="K47" s="27" t="s">
        <v>40</v>
      </c>
      <c r="L47" s="27">
        <v>60</v>
      </c>
      <c r="M47" s="27">
        <v>70</v>
      </c>
      <c r="N47" s="27">
        <v>70</v>
      </c>
      <c r="O47" s="27">
        <v>70</v>
      </c>
      <c r="P47" s="27">
        <v>70</v>
      </c>
      <c r="Q47" s="27">
        <v>99</v>
      </c>
      <c r="R47" s="27">
        <v>70</v>
      </c>
      <c r="S47" s="27">
        <v>99</v>
      </c>
      <c r="T47" s="27">
        <v>70</v>
      </c>
      <c r="U47" s="27">
        <v>70</v>
      </c>
      <c r="V47" s="27">
        <v>60</v>
      </c>
      <c r="W47" s="27">
        <v>60</v>
      </c>
      <c r="X47" s="27">
        <v>70</v>
      </c>
      <c r="Y47" s="27">
        <v>60</v>
      </c>
      <c r="Z47" s="35">
        <v>60</v>
      </c>
    </row>
    <row r="48" spans="1:26" x14ac:dyDescent="0.25">
      <c r="A48" s="30"/>
      <c r="B48" s="26"/>
      <c r="C48" s="26"/>
      <c r="D48" s="26"/>
      <c r="E48" s="26"/>
      <c r="F48" s="26"/>
      <c r="G48" s="26"/>
      <c r="H48" s="26"/>
      <c r="I48" s="26"/>
      <c r="J48" s="26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35"/>
    </row>
    <row r="49" spans="1:26" x14ac:dyDescent="0.25">
      <c r="A49" s="25" t="s">
        <v>164</v>
      </c>
      <c r="B49" s="26"/>
      <c r="C49" s="26"/>
      <c r="D49" s="26"/>
      <c r="E49" s="26"/>
      <c r="F49" s="26"/>
      <c r="G49" s="26"/>
      <c r="H49" s="26"/>
      <c r="I49" s="26"/>
      <c r="J49" s="26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35"/>
    </row>
    <row r="50" spans="1:26" x14ac:dyDescent="0.25">
      <c r="A50" s="30"/>
      <c r="B50" s="26"/>
      <c r="C50" s="26"/>
      <c r="D50" s="26"/>
      <c r="E50" s="26"/>
      <c r="F50" s="26"/>
      <c r="G50" s="26"/>
      <c r="H50" s="26"/>
      <c r="I50" s="26"/>
      <c r="J50" s="26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35"/>
    </row>
    <row r="51" spans="1:26" ht="17.25" x14ac:dyDescent="0.25">
      <c r="A51" s="40" t="s">
        <v>165</v>
      </c>
      <c r="B51" s="26"/>
      <c r="C51" s="26"/>
      <c r="D51" s="26"/>
      <c r="E51" s="26"/>
      <c r="F51" s="26"/>
      <c r="G51" s="26"/>
      <c r="H51" s="26"/>
      <c r="I51" s="26"/>
      <c r="J51" s="26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35"/>
    </row>
    <row r="52" spans="1:26" ht="17.25" x14ac:dyDescent="0.25">
      <c r="A52" s="30" t="s">
        <v>166</v>
      </c>
      <c r="B52" s="26"/>
      <c r="C52" s="26"/>
      <c r="D52" s="26"/>
      <c r="E52" s="26" t="s">
        <v>167</v>
      </c>
      <c r="F52" s="26"/>
      <c r="G52" s="26"/>
      <c r="H52" s="26"/>
      <c r="I52" s="26"/>
      <c r="J52" s="26"/>
      <c r="K52" s="27" t="s">
        <v>168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35"/>
    </row>
    <row r="53" spans="1:26" x14ac:dyDescent="0.25">
      <c r="A53" s="30"/>
      <c r="B53" s="26"/>
      <c r="C53" s="26"/>
      <c r="D53" s="26"/>
      <c r="E53" s="26" t="s">
        <v>169</v>
      </c>
      <c r="F53" s="26"/>
      <c r="G53" s="26"/>
      <c r="H53" s="26"/>
      <c r="I53" s="26"/>
      <c r="J53" s="26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35"/>
    </row>
    <row r="54" spans="1:26" x14ac:dyDescent="0.25">
      <c r="A54" s="30"/>
      <c r="B54" s="26"/>
      <c r="C54" s="26"/>
      <c r="D54" s="26"/>
      <c r="E54" s="26" t="s">
        <v>170</v>
      </c>
      <c r="F54" s="26"/>
      <c r="G54" s="26"/>
      <c r="H54" s="26"/>
      <c r="I54" s="26"/>
      <c r="J54" s="26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35"/>
    </row>
    <row r="55" spans="1:26" x14ac:dyDescent="0.25">
      <c r="A55" s="30"/>
      <c r="B55" s="26"/>
      <c r="C55" s="26"/>
      <c r="D55" s="26"/>
      <c r="E55" s="26"/>
      <c r="F55" s="26"/>
      <c r="G55" s="26"/>
      <c r="H55" s="26"/>
      <c r="I55" s="26"/>
      <c r="J55" s="2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35"/>
    </row>
    <row r="56" spans="1:26" x14ac:dyDescent="0.25">
      <c r="A56" s="30" t="s">
        <v>171</v>
      </c>
      <c r="B56" s="26"/>
      <c r="C56" s="26"/>
      <c r="D56" s="26"/>
      <c r="E56" s="26" t="s">
        <v>172</v>
      </c>
      <c r="F56" s="26"/>
      <c r="G56" s="26"/>
      <c r="H56" s="26"/>
      <c r="I56" s="26"/>
      <c r="J56" s="26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35"/>
    </row>
    <row r="57" spans="1:26" x14ac:dyDescent="0.25">
      <c r="A57" s="30"/>
      <c r="B57" s="26"/>
      <c r="C57" s="26"/>
      <c r="D57" s="26"/>
      <c r="E57" s="26"/>
      <c r="F57" s="26"/>
      <c r="G57" s="26"/>
      <c r="H57" s="26"/>
      <c r="I57" s="26"/>
      <c r="J57" s="26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35"/>
    </row>
    <row r="58" spans="1:26" ht="17.25" x14ac:dyDescent="0.25">
      <c r="A58" s="40" t="s">
        <v>173</v>
      </c>
      <c r="B58" s="26"/>
      <c r="C58" s="26"/>
      <c r="D58" s="26"/>
      <c r="E58" s="26"/>
      <c r="F58" s="26"/>
      <c r="G58" s="26"/>
      <c r="H58" s="26"/>
      <c r="I58" s="26"/>
      <c r="J58" s="26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35"/>
    </row>
    <row r="59" spans="1:26" ht="17.25" x14ac:dyDescent="0.25">
      <c r="A59" s="30" t="s">
        <v>166</v>
      </c>
      <c r="B59" s="26"/>
      <c r="C59" s="26"/>
      <c r="D59" s="26"/>
      <c r="E59" s="26" t="s">
        <v>174</v>
      </c>
      <c r="F59" s="26"/>
      <c r="G59" s="26"/>
      <c r="H59" s="26"/>
      <c r="I59" s="26"/>
      <c r="J59" s="26"/>
      <c r="K59" s="27" t="s">
        <v>175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35"/>
    </row>
    <row r="60" spans="1:26" x14ac:dyDescent="0.25">
      <c r="A60" s="30"/>
      <c r="B60" s="26"/>
      <c r="C60" s="26"/>
      <c r="D60" s="26"/>
      <c r="E60" s="26" t="s">
        <v>176</v>
      </c>
      <c r="F60" s="26"/>
      <c r="G60" s="26"/>
      <c r="H60" s="26"/>
      <c r="I60" s="26"/>
      <c r="J60" s="26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35"/>
    </row>
    <row r="61" spans="1:26" ht="18" x14ac:dyDescent="0.35">
      <c r="A61" s="30"/>
      <c r="B61" s="26"/>
      <c r="C61" s="26"/>
      <c r="D61" s="26"/>
      <c r="E61" s="26" t="s">
        <v>177</v>
      </c>
      <c r="F61" s="26"/>
      <c r="G61" s="26"/>
      <c r="H61" s="26"/>
      <c r="I61" s="26"/>
      <c r="J61" s="26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35"/>
    </row>
    <row r="62" spans="1:26" ht="18" x14ac:dyDescent="0.35">
      <c r="A62" s="30"/>
      <c r="B62" s="26"/>
      <c r="C62" s="26"/>
      <c r="D62" s="26"/>
      <c r="E62" s="26" t="s">
        <v>178</v>
      </c>
      <c r="F62" s="26"/>
      <c r="G62" s="26"/>
      <c r="H62" s="26"/>
      <c r="I62" s="26"/>
      <c r="J62" s="26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35"/>
    </row>
    <row r="63" spans="1:26" x14ac:dyDescent="0.25">
      <c r="A63" s="30"/>
      <c r="B63" s="26"/>
      <c r="C63" s="26"/>
      <c r="D63" s="26"/>
      <c r="E63" s="26" t="s">
        <v>179</v>
      </c>
      <c r="F63" s="26"/>
      <c r="G63" s="26"/>
      <c r="H63" s="26"/>
      <c r="I63" s="26"/>
      <c r="J63" s="26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35"/>
    </row>
    <row r="64" spans="1:26" x14ac:dyDescent="0.25">
      <c r="A64" s="30"/>
      <c r="B64" s="26"/>
      <c r="C64" s="26"/>
      <c r="D64" s="26"/>
      <c r="E64" s="26" t="s">
        <v>180</v>
      </c>
      <c r="F64" s="26"/>
      <c r="G64" s="26"/>
      <c r="H64" s="26"/>
      <c r="I64" s="26"/>
      <c r="J64" s="26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35"/>
    </row>
    <row r="65" spans="1:26" x14ac:dyDescent="0.25">
      <c r="A65" s="30"/>
      <c r="B65" s="26"/>
      <c r="C65" s="26"/>
      <c r="D65" s="26"/>
      <c r="E65" s="26"/>
      <c r="F65" s="26"/>
      <c r="G65" s="26"/>
      <c r="H65" s="26"/>
      <c r="I65" s="26"/>
      <c r="J65" s="26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35"/>
    </row>
    <row r="66" spans="1:26" x14ac:dyDescent="0.25">
      <c r="A66" s="30" t="s">
        <v>171</v>
      </c>
      <c r="B66" s="26"/>
      <c r="C66" s="26"/>
      <c r="D66" s="26"/>
      <c r="E66" s="26" t="s">
        <v>181</v>
      </c>
      <c r="F66" s="26"/>
      <c r="G66" s="26"/>
      <c r="H66" s="26"/>
      <c r="I66" s="26"/>
      <c r="J66" s="26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35"/>
    </row>
    <row r="67" spans="1:26" x14ac:dyDescent="0.25">
      <c r="A67" s="30"/>
      <c r="B67" s="26"/>
      <c r="C67" s="26"/>
      <c r="D67" s="26"/>
      <c r="E67" s="26"/>
      <c r="F67" s="26" t="s">
        <v>182</v>
      </c>
      <c r="G67" s="26"/>
      <c r="H67" s="26"/>
      <c r="I67" s="26"/>
      <c r="J67" s="26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35"/>
    </row>
    <row r="68" spans="1:26" x14ac:dyDescent="0.25">
      <c r="A68" s="30"/>
      <c r="B68" s="26"/>
      <c r="C68" s="26"/>
      <c r="D68" s="26"/>
      <c r="E68" s="26"/>
      <c r="F68" s="26" t="s">
        <v>183</v>
      </c>
      <c r="G68" s="26"/>
      <c r="H68" s="26"/>
      <c r="I68" s="26"/>
      <c r="J68" s="26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35"/>
    </row>
    <row r="69" spans="1:26" x14ac:dyDescent="0.25">
      <c r="A69" s="30"/>
      <c r="B69" s="26"/>
      <c r="C69" s="26"/>
      <c r="D69" s="26"/>
      <c r="E69" s="26"/>
      <c r="F69" s="26"/>
      <c r="G69" s="26"/>
      <c r="H69" s="26"/>
      <c r="I69" s="26"/>
      <c r="J69" s="26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35"/>
    </row>
    <row r="70" spans="1:26" ht="17.25" x14ac:dyDescent="0.25">
      <c r="A70" s="40" t="s">
        <v>184</v>
      </c>
      <c r="B70" s="26"/>
      <c r="C70" s="26"/>
      <c r="D70" s="26"/>
      <c r="E70" s="26"/>
      <c r="F70" s="26"/>
      <c r="G70" s="26"/>
      <c r="H70" s="26"/>
      <c r="I70" s="26"/>
      <c r="J70" s="26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35"/>
    </row>
    <row r="71" spans="1:26" ht="17.25" x14ac:dyDescent="0.25">
      <c r="A71" s="30" t="s">
        <v>166</v>
      </c>
      <c r="B71" s="26"/>
      <c r="C71" s="26"/>
      <c r="D71" s="26"/>
      <c r="E71" s="26" t="s">
        <v>185</v>
      </c>
      <c r="F71" s="26"/>
      <c r="G71" s="26"/>
      <c r="H71" s="26"/>
      <c r="I71" s="26"/>
      <c r="J71" s="26"/>
      <c r="K71" s="27" t="s">
        <v>175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35"/>
    </row>
    <row r="72" spans="1:26" x14ac:dyDescent="0.25">
      <c r="A72" s="30"/>
      <c r="B72" s="26"/>
      <c r="C72" s="26"/>
      <c r="D72" s="26"/>
      <c r="E72" s="26" t="s">
        <v>186</v>
      </c>
      <c r="F72" s="26"/>
      <c r="G72" s="26"/>
      <c r="H72" s="26"/>
      <c r="I72" s="26"/>
      <c r="J72" s="26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35"/>
    </row>
    <row r="73" spans="1:26" x14ac:dyDescent="0.25">
      <c r="A73" s="30"/>
      <c r="B73" s="26"/>
      <c r="C73" s="26"/>
      <c r="D73" s="26"/>
      <c r="E73" s="26" t="s">
        <v>187</v>
      </c>
      <c r="F73" s="26"/>
      <c r="G73" s="26"/>
      <c r="H73" s="26"/>
      <c r="I73" s="26"/>
      <c r="J73" s="26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35"/>
    </row>
    <row r="74" spans="1:26" x14ac:dyDescent="0.25">
      <c r="A74" s="30"/>
      <c r="B74" s="26"/>
      <c r="C74" s="26"/>
      <c r="D74" s="26"/>
      <c r="E74" s="26" t="s">
        <v>188</v>
      </c>
      <c r="F74" s="26"/>
      <c r="G74" s="26"/>
      <c r="H74" s="26"/>
      <c r="I74" s="26"/>
      <c r="J74" s="26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35"/>
    </row>
    <row r="75" spans="1:26" x14ac:dyDescent="0.25">
      <c r="A75" s="30"/>
      <c r="B75" s="26"/>
      <c r="C75" s="26"/>
      <c r="D75" s="26"/>
      <c r="E75" s="26" t="s">
        <v>189</v>
      </c>
      <c r="F75" s="26"/>
      <c r="G75" s="26"/>
      <c r="H75" s="26"/>
      <c r="I75" s="26"/>
      <c r="J75" s="2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35"/>
    </row>
    <row r="76" spans="1:26" x14ac:dyDescent="0.25">
      <c r="A76" s="30"/>
      <c r="B76" s="26"/>
      <c r="C76" s="26"/>
      <c r="D76" s="26"/>
      <c r="E76" s="26"/>
      <c r="F76" s="26"/>
      <c r="G76" s="26"/>
      <c r="H76" s="26"/>
      <c r="I76" s="26"/>
      <c r="J76" s="26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35"/>
    </row>
    <row r="77" spans="1:26" x14ac:dyDescent="0.25">
      <c r="A77" s="30" t="s">
        <v>171</v>
      </c>
      <c r="B77" s="26"/>
      <c r="C77" s="26"/>
      <c r="D77" s="26"/>
      <c r="E77" s="26" t="s">
        <v>190</v>
      </c>
      <c r="F77" s="26"/>
      <c r="G77" s="26"/>
      <c r="H77" s="26"/>
      <c r="I77" s="26"/>
      <c r="J77" s="26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35"/>
    </row>
    <row r="78" spans="1:26" x14ac:dyDescent="0.25">
      <c r="A78" s="30"/>
      <c r="B78" s="26"/>
      <c r="C78" s="26"/>
      <c r="D78" s="26"/>
      <c r="E78" s="26" t="s">
        <v>191</v>
      </c>
      <c r="F78" s="26"/>
      <c r="G78" s="26"/>
      <c r="H78" s="26"/>
      <c r="I78" s="26"/>
      <c r="J78" s="26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35"/>
    </row>
    <row r="79" spans="1:26" x14ac:dyDescent="0.25">
      <c r="A79" s="30"/>
      <c r="B79" s="26"/>
      <c r="C79" s="26"/>
      <c r="D79" s="26"/>
      <c r="E79" s="26"/>
      <c r="F79" s="26" t="s">
        <v>192</v>
      </c>
      <c r="G79" s="26"/>
      <c r="H79" s="26"/>
      <c r="I79" s="26"/>
      <c r="J79" s="26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35"/>
    </row>
    <row r="80" spans="1:26" x14ac:dyDescent="0.25">
      <c r="A80" s="30"/>
      <c r="B80" s="26"/>
      <c r="C80" s="26"/>
      <c r="D80" s="26"/>
      <c r="E80" s="26"/>
      <c r="F80" s="26" t="s">
        <v>193</v>
      </c>
      <c r="G80" s="26"/>
      <c r="H80" s="26"/>
      <c r="I80" s="26"/>
      <c r="J80" s="26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35"/>
    </row>
    <row r="81" spans="1:26" x14ac:dyDescent="0.25">
      <c r="A81" s="30"/>
      <c r="B81" s="26"/>
      <c r="C81" s="26"/>
      <c r="D81" s="26"/>
      <c r="E81" s="26"/>
      <c r="F81" s="26" t="s">
        <v>194</v>
      </c>
      <c r="G81" s="26"/>
      <c r="H81" s="26"/>
      <c r="I81" s="26"/>
      <c r="J81" s="26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35"/>
    </row>
    <row r="82" spans="1:26" ht="17.25" x14ac:dyDescent="0.25">
      <c r="A82" s="40" t="s">
        <v>195</v>
      </c>
      <c r="B82" s="26"/>
      <c r="C82" s="26"/>
      <c r="D82" s="26"/>
      <c r="E82" s="26"/>
      <c r="F82" s="26"/>
      <c r="G82" s="26"/>
      <c r="H82" s="26"/>
      <c r="I82" s="26"/>
      <c r="J82" s="26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35"/>
    </row>
    <row r="83" spans="1:26" x14ac:dyDescent="0.25">
      <c r="A83" s="30" t="s">
        <v>166</v>
      </c>
      <c r="B83" s="26"/>
      <c r="C83" s="26"/>
      <c r="D83" s="26"/>
      <c r="E83" s="26" t="s">
        <v>196</v>
      </c>
      <c r="F83" s="26"/>
      <c r="G83" s="26"/>
      <c r="H83" s="26"/>
      <c r="I83" s="26"/>
      <c r="J83" s="26"/>
      <c r="K83" s="27" t="s">
        <v>197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35"/>
    </row>
    <row r="84" spans="1:26" x14ac:dyDescent="0.25">
      <c r="A84" s="30"/>
      <c r="B84" s="26"/>
      <c r="C84" s="26"/>
      <c r="D84" s="26"/>
      <c r="E84" s="26" t="s">
        <v>198</v>
      </c>
      <c r="F84" s="26"/>
      <c r="G84" s="26"/>
      <c r="H84" s="26"/>
      <c r="I84" s="26"/>
      <c r="J84" s="26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35"/>
    </row>
    <row r="85" spans="1:26" x14ac:dyDescent="0.25">
      <c r="A85" s="30"/>
      <c r="B85" s="26"/>
      <c r="C85" s="26"/>
      <c r="D85" s="26"/>
      <c r="E85" s="26"/>
      <c r="F85" s="26"/>
      <c r="G85" s="26"/>
      <c r="H85" s="26"/>
      <c r="I85" s="26"/>
      <c r="J85" s="26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35"/>
    </row>
    <row r="86" spans="1:26" x14ac:dyDescent="0.25">
      <c r="A86" s="30" t="s">
        <v>199</v>
      </c>
      <c r="B86" s="26"/>
      <c r="C86" s="26"/>
      <c r="D86" s="26"/>
      <c r="E86" s="26" t="s">
        <v>200</v>
      </c>
      <c r="F86" s="26"/>
      <c r="G86" s="26"/>
      <c r="H86" s="26"/>
      <c r="I86" s="26"/>
      <c r="J86" s="26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35"/>
    </row>
    <row r="87" spans="1:26" x14ac:dyDescent="0.25">
      <c r="A87" s="30"/>
      <c r="B87" s="26"/>
      <c r="C87" s="26"/>
      <c r="D87" s="26"/>
      <c r="E87" s="26"/>
      <c r="F87" s="26"/>
      <c r="G87" s="26"/>
      <c r="H87" s="26"/>
      <c r="I87" s="26"/>
      <c r="J87" s="26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35"/>
    </row>
    <row r="88" spans="1:26" x14ac:dyDescent="0.25">
      <c r="A88" s="30"/>
      <c r="B88" s="26"/>
      <c r="C88" s="26"/>
      <c r="D88" s="26"/>
      <c r="E88" s="26"/>
      <c r="F88" s="26"/>
      <c r="G88" s="26"/>
      <c r="H88" s="26"/>
      <c r="I88" s="26"/>
      <c r="J88" s="26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35"/>
    </row>
    <row r="89" spans="1:26" x14ac:dyDescent="0.25">
      <c r="A89" s="25" t="s">
        <v>201</v>
      </c>
      <c r="B89" s="26"/>
      <c r="C89" s="26"/>
      <c r="D89" s="26"/>
      <c r="E89" s="26"/>
      <c r="F89" s="26"/>
      <c r="G89" s="26"/>
      <c r="H89" s="26"/>
      <c r="I89" s="26"/>
      <c r="J89" s="26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35"/>
    </row>
    <row r="90" spans="1:26" x14ac:dyDescent="0.25">
      <c r="A90" s="30" t="s">
        <v>202</v>
      </c>
      <c r="B90" s="26"/>
      <c r="C90" s="26"/>
      <c r="D90" s="26"/>
      <c r="E90" s="26" t="s">
        <v>153</v>
      </c>
      <c r="F90" s="26"/>
      <c r="G90" s="26"/>
      <c r="H90" s="26"/>
      <c r="I90" s="26"/>
      <c r="J90" s="26"/>
      <c r="K90" s="27"/>
      <c r="L90" s="41">
        <f>$L$33*$L$43^0.91*25^1.02</f>
        <v>0.29328610910730091</v>
      </c>
      <c r="M90" s="41">
        <f>$M$33*($M$43/12)^0.7*(25/3)^0.45</f>
        <v>0.84663389826021718</v>
      </c>
      <c r="N90" s="42">
        <f>(N$33*0.0032*(N$30/5)^1.3)/((N$15)/2)^1.4</f>
        <v>1.7250478759760614E-4</v>
      </c>
      <c r="O90" s="42">
        <f t="shared" ref="O90:Y90" si="0">(O$33*0.0032*(O$30/5)^1.3)/((O$15)/2)^1.4</f>
        <v>1.7250478759760614E-4</v>
      </c>
      <c r="P90" s="42">
        <f t="shared" si="0"/>
        <v>1.7250478759760614E-4</v>
      </c>
      <c r="Q90" s="42">
        <v>2.5000000000000001E-2</v>
      </c>
      <c r="R90" s="42">
        <f t="shared" si="0"/>
        <v>1.7250478759760614E-4</v>
      </c>
      <c r="S90" s="42">
        <v>5.4000000000000003E-3</v>
      </c>
      <c r="T90" s="42">
        <f t="shared" si="0"/>
        <v>1.7250478759760614E-4</v>
      </c>
      <c r="U90" s="42">
        <f t="shared" si="0"/>
        <v>1.7250478759760614E-4</v>
      </c>
      <c r="V90" s="38">
        <f>V$33*1.7*(V$43/1.5)*((365-V$38)/235)*(V40/15)</f>
        <v>4.119787234042553</v>
      </c>
      <c r="W90" s="42">
        <f t="shared" si="0"/>
        <v>1.7250478759760614E-4</v>
      </c>
      <c r="X90" s="42">
        <f t="shared" si="0"/>
        <v>1.7250478759760614E-4</v>
      </c>
      <c r="Y90" s="42">
        <f t="shared" si="0"/>
        <v>1.7250478759760614E-4</v>
      </c>
      <c r="Z90" s="39">
        <f>Z$33*1.7*(Z$43/1.5)*((365-Z$38)/235)*(Z40/15)</f>
        <v>4.119787234042553</v>
      </c>
    </row>
    <row r="91" spans="1:26" x14ac:dyDescent="0.25">
      <c r="A91" s="30"/>
      <c r="B91" s="26"/>
      <c r="C91" s="26"/>
      <c r="D91" s="26"/>
      <c r="E91" s="26" t="s">
        <v>117</v>
      </c>
      <c r="F91" s="26"/>
      <c r="G91" s="26"/>
      <c r="H91" s="26"/>
      <c r="I91" s="26"/>
      <c r="J91" s="26"/>
      <c r="K91" s="27"/>
      <c r="L91" s="41">
        <f>$L$33*$L$43^0.91*25^1.02</f>
        <v>0.29328610910730091</v>
      </c>
      <c r="M91" s="41">
        <f>$M$33*($M$43/12)^0.7*(25/3)^0.45</f>
        <v>0.84663389826021718</v>
      </c>
      <c r="N91" s="42">
        <f>(N$33*0.0032*(N$31/5)^1.3)/((N$15)/2)^1.4</f>
        <v>7.0058713554539497E-5</v>
      </c>
      <c r="O91" s="42">
        <f t="shared" ref="O91:Y91" si="1">(O$33*0.0032*(O$31/5)^1.3)/((O$15)/2)^1.4</f>
        <v>7.0058713554539497E-5</v>
      </c>
      <c r="P91" s="42">
        <f t="shared" si="1"/>
        <v>7.0058713554539497E-5</v>
      </c>
      <c r="Q91" s="42">
        <v>2.5000000000000001E-2</v>
      </c>
      <c r="R91" s="42">
        <f t="shared" si="1"/>
        <v>7.0058713554539497E-5</v>
      </c>
      <c r="S91" s="42">
        <v>5.4000000000000003E-3</v>
      </c>
      <c r="T91" s="42">
        <f t="shared" si="1"/>
        <v>7.0058713554539497E-5</v>
      </c>
      <c r="U91" s="42">
        <f t="shared" si="1"/>
        <v>7.0058713554539497E-5</v>
      </c>
      <c r="V91" s="38">
        <f>V$33*1.7*(V$43/1.5)*((365-V$38)/235)*(V41/15)</f>
        <v>0.82395744680851069</v>
      </c>
      <c r="W91" s="42">
        <f t="shared" si="1"/>
        <v>7.0058713554539497E-5</v>
      </c>
      <c r="X91" s="42">
        <f t="shared" si="1"/>
        <v>7.0058713554539497E-5</v>
      </c>
      <c r="Y91" s="42">
        <f t="shared" si="1"/>
        <v>7.0058713554539497E-5</v>
      </c>
      <c r="Z91" s="39">
        <f>Z$33*1.7*(Z$43/1.5)*((365-Z$38)/235)*(Z41/15)</f>
        <v>0.82395744680851069</v>
      </c>
    </row>
    <row r="92" spans="1:26" x14ac:dyDescent="0.25">
      <c r="A92" s="30" t="s">
        <v>203</v>
      </c>
      <c r="B92" s="26"/>
      <c r="C92" s="26"/>
      <c r="D92" s="26"/>
      <c r="E92" s="26" t="s">
        <v>153</v>
      </c>
      <c r="F92" s="26"/>
      <c r="G92" s="26"/>
      <c r="H92" s="26"/>
      <c r="I92" s="26"/>
      <c r="J92" s="26"/>
      <c r="K92" s="27"/>
      <c r="L92" s="41">
        <f>$L$33*$L$43^0.91*25^1.02*(1-61/(4*365))*(1-$L$47/100)</f>
        <v>0.11241294976468877</v>
      </c>
      <c r="M92" s="41">
        <f>$M$33*($M$43/12)^0.7*(25/3)^0.45*(365-$M$38)/365*(1-$M$47/100)</f>
        <v>0.2331142651374023</v>
      </c>
      <c r="N92" s="42">
        <f>N$90*(1-N$47/100)</f>
        <v>5.1751436279281852E-5</v>
      </c>
      <c r="O92" s="42">
        <f t="shared" ref="O92:Y92" si="2">O$90*(1-O$47/100)</f>
        <v>5.1751436279281852E-5</v>
      </c>
      <c r="P92" s="42">
        <f t="shared" si="2"/>
        <v>5.1751436279281852E-5</v>
      </c>
      <c r="Q92" s="43">
        <v>2.2000000000000001E-3</v>
      </c>
      <c r="R92" s="42">
        <f t="shared" si="2"/>
        <v>5.1751436279281852E-5</v>
      </c>
      <c r="S92" s="42">
        <v>1.1999999999999999E-3</v>
      </c>
      <c r="T92" s="42">
        <f t="shared" si="2"/>
        <v>5.1751436279281852E-5</v>
      </c>
      <c r="U92" s="42">
        <f t="shared" si="2"/>
        <v>5.1751436279281852E-5</v>
      </c>
      <c r="V92" s="38">
        <f>V$90*(1-V$47/100)</f>
        <v>1.6479148936170214</v>
      </c>
      <c r="W92" s="42">
        <f t="shared" si="2"/>
        <v>6.9001915039042461E-5</v>
      </c>
      <c r="X92" s="42">
        <f t="shared" si="2"/>
        <v>5.1751436279281852E-5</v>
      </c>
      <c r="Y92" s="42">
        <f t="shared" si="2"/>
        <v>6.9001915039042461E-5</v>
      </c>
      <c r="Z92" s="39">
        <f>Z$90*(1-Z$47/100)</f>
        <v>1.6479148936170214</v>
      </c>
    </row>
    <row r="93" spans="1:26" x14ac:dyDescent="0.25">
      <c r="A93" s="30"/>
      <c r="B93" s="26"/>
      <c r="C93" s="26"/>
      <c r="D93" s="26"/>
      <c r="E93" s="26" t="s">
        <v>117</v>
      </c>
      <c r="F93" s="26"/>
      <c r="G93" s="26"/>
      <c r="H93" s="26"/>
      <c r="I93" s="26"/>
      <c r="J93" s="26"/>
      <c r="K93" s="27"/>
      <c r="L93" s="41">
        <f>$L$33*$L$43^0.91*25^1.02*(1-61/(4*365))*(1-$L$47/100)</f>
        <v>0.11241294976468877</v>
      </c>
      <c r="M93" s="41">
        <f>$M$33*($M$43/12)^0.7*(25/3)^0.45*(365-$M$38)/365*(1-$M$47/100)</f>
        <v>0.2331142651374023</v>
      </c>
      <c r="N93" s="42">
        <f>N$91*(1-N$47/100)</f>
        <v>2.1017614066361852E-5</v>
      </c>
      <c r="O93" s="42">
        <f t="shared" ref="O93:Y93" si="3">O$91*(1-O$47/100)</f>
        <v>2.1017614066361852E-5</v>
      </c>
      <c r="P93" s="42">
        <f t="shared" si="3"/>
        <v>2.1017614066361852E-5</v>
      </c>
      <c r="Q93" s="43">
        <v>2.2000000000000001E-3</v>
      </c>
      <c r="R93" s="42">
        <f t="shared" si="3"/>
        <v>2.1017614066361852E-5</v>
      </c>
      <c r="S93" s="42">
        <v>1.1999999999999999E-3</v>
      </c>
      <c r="T93" s="42">
        <f t="shared" si="3"/>
        <v>2.1017614066361852E-5</v>
      </c>
      <c r="U93" s="42">
        <f t="shared" si="3"/>
        <v>2.1017614066361852E-5</v>
      </c>
      <c r="V93" s="38">
        <f>V$91*(1-V$47/100)</f>
        <v>0.32958297872340431</v>
      </c>
      <c r="W93" s="42">
        <f t="shared" si="3"/>
        <v>2.80234854218158E-5</v>
      </c>
      <c r="X93" s="42">
        <f t="shared" si="3"/>
        <v>2.1017614066361852E-5</v>
      </c>
      <c r="Y93" s="42">
        <f t="shared" si="3"/>
        <v>2.80234854218158E-5</v>
      </c>
      <c r="Z93" s="39">
        <f>Z$91*(1-Z$47/100)</f>
        <v>0.32958297872340431</v>
      </c>
    </row>
    <row r="94" spans="1:26" x14ac:dyDescent="0.25">
      <c r="A94" s="30"/>
      <c r="B94" s="26"/>
      <c r="C94" s="26"/>
      <c r="D94" s="26"/>
      <c r="E94" s="26"/>
      <c r="F94" s="26"/>
      <c r="G94" s="26"/>
      <c r="H94" s="26"/>
      <c r="I94" s="26"/>
      <c r="J94" s="26"/>
      <c r="K94" s="27"/>
      <c r="L94" s="44"/>
      <c r="M94" s="44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35"/>
    </row>
    <row r="95" spans="1:26" ht="18" x14ac:dyDescent="0.35">
      <c r="A95" s="25" t="s">
        <v>204</v>
      </c>
      <c r="B95" s="26"/>
      <c r="C95" s="26"/>
      <c r="D95" s="26"/>
      <c r="E95" s="26"/>
      <c r="F95" s="26"/>
      <c r="G95" s="26"/>
      <c r="H95" s="26"/>
      <c r="I95" s="26"/>
      <c r="J95" s="26"/>
      <c r="K95" s="27"/>
      <c r="L95" s="44"/>
      <c r="M95" s="44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35"/>
    </row>
    <row r="96" spans="1:26" x14ac:dyDescent="0.25">
      <c r="A96" s="30" t="s">
        <v>205</v>
      </c>
      <c r="B96" s="26"/>
      <c r="C96" s="26"/>
      <c r="D96" s="26"/>
      <c r="E96" s="26" t="s">
        <v>153</v>
      </c>
      <c r="F96" s="26"/>
      <c r="G96" s="26"/>
      <c r="H96" s="26"/>
      <c r="I96" s="26"/>
      <c r="J96" s="26"/>
      <c r="K96" s="27"/>
      <c r="L96" s="41">
        <f>$L$34*$L$43^0.91*25^1.02</f>
        <v>5.8657221821460187E-2</v>
      </c>
      <c r="M96" s="41">
        <f>$M$34*($M$43/12)^0.7*(25/3)^0.45</f>
        <v>0.25917364232455631</v>
      </c>
      <c r="N96" s="42">
        <f>(N$34*0.0032*(N$30/5)^1.3)/((N$15)/2)^1.4</f>
        <v>8.1590102242111014E-5</v>
      </c>
      <c r="O96" s="42">
        <f t="shared" ref="O96:Y96" si="4">(O$34*0.0032*(O$30/5)^1.3)/((O$15)/2)^1.4</f>
        <v>8.1590102242111014E-5</v>
      </c>
      <c r="P96" s="42">
        <f t="shared" si="4"/>
        <v>8.1590102242111014E-5</v>
      </c>
      <c r="Q96" s="42">
        <v>8.6999999999999994E-3</v>
      </c>
      <c r="R96" s="42">
        <f t="shared" si="4"/>
        <v>8.1590102242111014E-5</v>
      </c>
      <c r="S96" s="42">
        <v>2.3999999999999998E-3</v>
      </c>
      <c r="T96" s="42">
        <f t="shared" si="4"/>
        <v>8.1590102242111014E-5</v>
      </c>
      <c r="U96" s="42">
        <f t="shared" si="4"/>
        <v>8.1590102242111014E-5</v>
      </c>
      <c r="V96" s="38">
        <f>V$34*1.7*(V$43/1.5)*((365-V$38)/235)*(V$40/15)</f>
        <v>2.0598936170212765</v>
      </c>
      <c r="W96" s="42">
        <f t="shared" si="4"/>
        <v>8.1590102242111014E-5</v>
      </c>
      <c r="X96" s="42">
        <f t="shared" si="4"/>
        <v>8.1590102242111014E-5</v>
      </c>
      <c r="Y96" s="42">
        <f t="shared" si="4"/>
        <v>8.1590102242111014E-5</v>
      </c>
      <c r="Z96" s="39">
        <f>Z$34*1.7*(Z$43/1.5)*((365-Z$38)/235)*(Z$40/15)</f>
        <v>2.0598936170212765</v>
      </c>
    </row>
    <row r="97" spans="1:26" x14ac:dyDescent="0.25">
      <c r="A97" s="30"/>
      <c r="B97" s="26"/>
      <c r="C97" s="26"/>
      <c r="D97" s="26"/>
      <c r="E97" s="26" t="s">
        <v>117</v>
      </c>
      <c r="F97" s="26"/>
      <c r="G97" s="26"/>
      <c r="H97" s="26"/>
      <c r="I97" s="26"/>
      <c r="J97" s="26"/>
      <c r="K97" s="27"/>
      <c r="L97" s="41">
        <f>$L$34*$L$43^0.91*25^1.02</f>
        <v>5.8657221821460187E-2</v>
      </c>
      <c r="M97" s="41">
        <f>$M$34*($M$43/12)^0.7*(25/3)^0.45</f>
        <v>0.25917364232455631</v>
      </c>
      <c r="N97" s="42">
        <f>(N$34*0.0032*(N$31/5)^1.3)/((N$15)/2)^1.4</f>
        <v>3.3135878032552461E-5</v>
      </c>
      <c r="O97" s="42">
        <f t="shared" ref="O97:Y97" si="5">(O$34*0.0032*(O$31/5)^1.3)/((O$15)/2)^1.4</f>
        <v>3.3135878032552461E-5</v>
      </c>
      <c r="P97" s="42">
        <f t="shared" si="5"/>
        <v>3.3135878032552461E-5</v>
      </c>
      <c r="Q97" s="42">
        <v>8.6999999999999994E-3</v>
      </c>
      <c r="R97" s="42">
        <f t="shared" si="5"/>
        <v>3.3135878032552461E-5</v>
      </c>
      <c r="S97" s="42">
        <v>2.3999999999999998E-3</v>
      </c>
      <c r="T97" s="42">
        <f t="shared" si="5"/>
        <v>3.3135878032552461E-5</v>
      </c>
      <c r="U97" s="42">
        <f t="shared" si="5"/>
        <v>3.3135878032552461E-5</v>
      </c>
      <c r="V97" s="38">
        <f>V$34*1.7*(V$43/1.5)*((365-V$38)/235)*(V$41/15)</f>
        <v>0.41197872340425534</v>
      </c>
      <c r="W97" s="42">
        <f t="shared" si="5"/>
        <v>3.3135878032552461E-5</v>
      </c>
      <c r="X97" s="42">
        <f t="shared" si="5"/>
        <v>3.3135878032552461E-5</v>
      </c>
      <c r="Y97" s="42">
        <f t="shared" si="5"/>
        <v>3.3135878032552461E-5</v>
      </c>
      <c r="Z97" s="39">
        <f>Z$34*1.7*(Z$43/1.5)*((365-Z$38)/235)*(Z$41/15)</f>
        <v>0.41197872340425534</v>
      </c>
    </row>
    <row r="98" spans="1:26" x14ac:dyDescent="0.25">
      <c r="A98" s="30" t="s">
        <v>206</v>
      </c>
      <c r="B98" s="26"/>
      <c r="C98" s="26"/>
      <c r="D98" s="26"/>
      <c r="E98" s="26" t="s">
        <v>153</v>
      </c>
      <c r="F98" s="26"/>
      <c r="G98" s="26"/>
      <c r="H98" s="26"/>
      <c r="I98" s="26"/>
      <c r="J98" s="26"/>
      <c r="K98" s="27"/>
      <c r="L98" s="41">
        <f>$L$34*$L$43^0.91*25^1.02*(1-61/(4*365))*(1-$L$47/100)</f>
        <v>2.2482589952937754E-2</v>
      </c>
      <c r="M98" s="41">
        <f>$M$34*($M$43/12)^0.7*(25/3)^0.45*(365-$M$38)/365*(1-$M$47/100)</f>
        <v>7.136150973593948E-2</v>
      </c>
      <c r="N98" s="42">
        <f>N$96*(1-N$47/100)</f>
        <v>2.4477030672633307E-5</v>
      </c>
      <c r="O98" s="42">
        <f t="shared" ref="O98:Y98" si="6">O$96*(1-O$47/100)</f>
        <v>2.4477030672633307E-5</v>
      </c>
      <c r="P98" s="42">
        <f t="shared" si="6"/>
        <v>2.4477030672633307E-5</v>
      </c>
      <c r="Q98" s="42">
        <v>7.3999999999999999E-4</v>
      </c>
      <c r="R98" s="42">
        <f t="shared" si="6"/>
        <v>2.4477030672633307E-5</v>
      </c>
      <c r="S98" s="42">
        <v>5.4000000000000001E-4</v>
      </c>
      <c r="T98" s="42">
        <f t="shared" si="6"/>
        <v>2.4477030672633307E-5</v>
      </c>
      <c r="U98" s="42">
        <f t="shared" si="6"/>
        <v>2.4477030672633307E-5</v>
      </c>
      <c r="V98" s="38">
        <f>V$96*(1-V$47/100)</f>
        <v>0.82395744680851069</v>
      </c>
      <c r="W98" s="42">
        <f t="shared" si="6"/>
        <v>3.2636040896844407E-5</v>
      </c>
      <c r="X98" s="42">
        <f t="shared" si="6"/>
        <v>2.4477030672633307E-5</v>
      </c>
      <c r="Y98" s="42">
        <f t="shared" si="6"/>
        <v>3.2636040896844407E-5</v>
      </c>
      <c r="Z98" s="39">
        <f>Z$96*(1-Z$47/100)</f>
        <v>0.82395744680851069</v>
      </c>
    </row>
    <row r="99" spans="1:26" x14ac:dyDescent="0.25">
      <c r="A99" s="30"/>
      <c r="B99" s="26"/>
      <c r="C99" s="26"/>
      <c r="D99" s="26"/>
      <c r="E99" s="26" t="s">
        <v>117</v>
      </c>
      <c r="F99" s="26"/>
      <c r="G99" s="26"/>
      <c r="H99" s="26"/>
      <c r="I99" s="26"/>
      <c r="J99" s="26"/>
      <c r="K99" s="27"/>
      <c r="L99" s="41">
        <f>$L$34*$L$43^0.91*25^1.02*(1-61/(4*365))*(1-$L$47/100)</f>
        <v>2.2482589952937754E-2</v>
      </c>
      <c r="M99" s="41">
        <f>$M$34*($M$43/12)^0.7*(25/3)^0.45*(365-$M$38)/365*(1-$M$47/100)</f>
        <v>7.136150973593948E-2</v>
      </c>
      <c r="N99" s="42">
        <f>N$97*(1-N$47/100)</f>
        <v>9.9407634097657393E-6</v>
      </c>
      <c r="O99" s="42">
        <f t="shared" ref="O99:Y99" si="7">O$97*(1-O$47/100)</f>
        <v>9.9407634097657393E-6</v>
      </c>
      <c r="P99" s="42">
        <f t="shared" si="7"/>
        <v>9.9407634097657393E-6</v>
      </c>
      <c r="Q99" s="42">
        <v>7.3999999999999999E-4</v>
      </c>
      <c r="R99" s="42">
        <f t="shared" si="7"/>
        <v>9.9407634097657393E-6</v>
      </c>
      <c r="S99" s="42">
        <v>5.4000000000000001E-4</v>
      </c>
      <c r="T99" s="42">
        <f t="shared" si="7"/>
        <v>9.9407634097657393E-6</v>
      </c>
      <c r="U99" s="42">
        <f t="shared" si="7"/>
        <v>9.9407634097657393E-6</v>
      </c>
      <c r="V99" s="38">
        <f>V$97*(1-V$47/100)</f>
        <v>0.16479148936170215</v>
      </c>
      <c r="W99" s="42">
        <f t="shared" si="7"/>
        <v>1.3254351213020986E-5</v>
      </c>
      <c r="X99" s="42">
        <f t="shared" si="7"/>
        <v>9.9407634097657393E-6</v>
      </c>
      <c r="Y99" s="42">
        <f t="shared" si="7"/>
        <v>1.3254351213020986E-5</v>
      </c>
      <c r="Z99" s="39">
        <f>Z$97*(1-Z$47/100)</f>
        <v>0.16479148936170215</v>
      </c>
    </row>
    <row r="100" spans="1:26" x14ac:dyDescent="0.25">
      <c r="A100" s="30"/>
      <c r="B100" s="26"/>
      <c r="C100" s="26"/>
      <c r="D100" s="26"/>
      <c r="E100" s="26"/>
      <c r="F100" s="26"/>
      <c r="G100" s="26"/>
      <c r="H100" s="26"/>
      <c r="I100" s="26"/>
      <c r="J100" s="26"/>
      <c r="K100" s="27"/>
      <c r="L100" s="44"/>
      <c r="M100" s="44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35"/>
    </row>
    <row r="101" spans="1:26" ht="18" x14ac:dyDescent="0.35">
      <c r="A101" s="25" t="s">
        <v>207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7"/>
      <c r="L101" s="44"/>
      <c r="M101" s="44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35"/>
    </row>
    <row r="102" spans="1:26" x14ac:dyDescent="0.25">
      <c r="A102" s="30" t="s">
        <v>205</v>
      </c>
      <c r="B102" s="26"/>
      <c r="C102" s="26"/>
      <c r="D102" s="26"/>
      <c r="E102" s="26" t="s">
        <v>153</v>
      </c>
      <c r="F102" s="26"/>
      <c r="G102" s="26"/>
      <c r="H102" s="26"/>
      <c r="I102" s="26"/>
      <c r="J102" s="26"/>
      <c r="K102" s="27"/>
      <c r="L102" s="45">
        <f>$L$35*$L$43^0.91*25^1.02</f>
        <v>1.4397681719812955E-2</v>
      </c>
      <c r="M102" s="41">
        <f>$M$35*($M$43/12)^0.7*(25/3)^0.45</f>
        <v>2.5917364232455622E-2</v>
      </c>
      <c r="N102" s="42">
        <f>(N$35*0.0032*(N$30/5)^1.3)/((N$15)/2)^1.4</f>
        <v>1.2355072625233956E-5</v>
      </c>
      <c r="O102" s="42">
        <f t="shared" ref="O102:Y102" si="8">(O$35*0.0032*(O$30/5)^1.3)/((O$15)/2)^1.4</f>
        <v>1.2355072625233956E-5</v>
      </c>
      <c r="P102" s="42">
        <f t="shared" si="8"/>
        <v>1.2355072625233956E-5</v>
      </c>
      <c r="Q102" s="42">
        <f>Q96</f>
        <v>8.6999999999999994E-3</v>
      </c>
      <c r="R102" s="42">
        <f t="shared" si="8"/>
        <v>1.2355072625233956E-5</v>
      </c>
      <c r="S102" s="42">
        <v>2.3999999999999998E-3</v>
      </c>
      <c r="T102" s="42">
        <f t="shared" si="8"/>
        <v>1.2355072625233956E-5</v>
      </c>
      <c r="U102" s="42">
        <f t="shared" si="8"/>
        <v>1.2355072625233956E-5</v>
      </c>
      <c r="V102" s="48">
        <f>V$35*1.7*(V$43/1.5)*((365-V$38)/235)*(V$40/15)</f>
        <v>0.30898404255319145</v>
      </c>
      <c r="W102" s="42">
        <f t="shared" si="8"/>
        <v>1.2355072625233956E-5</v>
      </c>
      <c r="X102" s="42">
        <f t="shared" si="8"/>
        <v>1.2355072625233956E-5</v>
      </c>
      <c r="Y102" s="42">
        <f t="shared" si="8"/>
        <v>1.2355072625233956E-5</v>
      </c>
      <c r="Z102" s="46">
        <f>Z$35*1.7*(Z$43/1.5)*((365-Z$38)/235)*(Z$40/15)</f>
        <v>0.30898404255319145</v>
      </c>
    </row>
    <row r="103" spans="1:26" x14ac:dyDescent="0.25">
      <c r="A103" s="30"/>
      <c r="B103" s="26"/>
      <c r="C103" s="26"/>
      <c r="D103" s="26"/>
      <c r="E103" s="26" t="s">
        <v>117</v>
      </c>
      <c r="F103" s="26"/>
      <c r="G103" s="26"/>
      <c r="H103" s="26"/>
      <c r="I103" s="26"/>
      <c r="J103" s="26"/>
      <c r="K103" s="27"/>
      <c r="L103" s="45">
        <f>$L$35*$L$43^0.91*25^1.02</f>
        <v>1.4397681719812955E-2</v>
      </c>
      <c r="M103" s="41">
        <f>$M$35*($M$43/12)^0.7*(25/3)^0.45</f>
        <v>2.5917364232455622E-2</v>
      </c>
      <c r="N103" s="42">
        <f>(N$35*0.0032*(N$31/5)^1.3)/((N$15)/2)^1.4</f>
        <v>5.0177186735008028E-6</v>
      </c>
      <c r="O103" s="42">
        <f t="shared" ref="O103:Y103" si="9">(O$35*0.0032*(O$31/5)^1.3)/((O$15)/2)^1.4</f>
        <v>5.0177186735008028E-6</v>
      </c>
      <c r="P103" s="42">
        <f t="shared" si="9"/>
        <v>5.0177186735008028E-6</v>
      </c>
      <c r="Q103" s="42">
        <f t="shared" ref="Q103:Q105" si="10">Q97</f>
        <v>8.6999999999999994E-3</v>
      </c>
      <c r="R103" s="42">
        <f t="shared" si="9"/>
        <v>5.0177186735008028E-6</v>
      </c>
      <c r="S103" s="42">
        <v>2.3999999999999998E-3</v>
      </c>
      <c r="T103" s="42">
        <f t="shared" si="9"/>
        <v>5.0177186735008028E-6</v>
      </c>
      <c r="U103" s="42">
        <f t="shared" si="9"/>
        <v>5.0177186735008028E-6</v>
      </c>
      <c r="V103" s="48">
        <f>V$35*1.7*(V$43/1.5)*((365-V$38)/235)*(V$41/15)</f>
        <v>6.179680851063829E-2</v>
      </c>
      <c r="W103" s="42">
        <f t="shared" si="9"/>
        <v>5.0177186735008028E-6</v>
      </c>
      <c r="X103" s="42">
        <f t="shared" si="9"/>
        <v>5.0177186735008028E-6</v>
      </c>
      <c r="Y103" s="42">
        <f t="shared" si="9"/>
        <v>5.0177186735008028E-6</v>
      </c>
      <c r="Z103" s="46">
        <f>Z$35*1.7*(Z$43/1.5)*((365-Z$38)/235)*(Z$41/15)</f>
        <v>6.179680851063829E-2</v>
      </c>
    </row>
    <row r="104" spans="1:26" x14ac:dyDescent="0.25">
      <c r="A104" s="30" t="s">
        <v>206</v>
      </c>
      <c r="B104" s="26"/>
      <c r="C104" s="26"/>
      <c r="D104" s="26"/>
      <c r="E104" s="26" t="s">
        <v>153</v>
      </c>
      <c r="F104" s="26"/>
      <c r="G104" s="26"/>
      <c r="H104" s="26"/>
      <c r="I104" s="26"/>
      <c r="J104" s="26"/>
      <c r="K104" s="27"/>
      <c r="L104" s="45">
        <f>$L$35*$L$43^0.91*25^1.02*(1-61/(4*365))*(1-$L$47/100)</f>
        <v>5.5184538975392673E-3</v>
      </c>
      <c r="M104" s="41">
        <f>$M$35*($M$43/12)^0.7*(25/3)^0.45*(365-$M$38)/365*(1-$M$47/100)</f>
        <v>7.1361509735939467E-3</v>
      </c>
      <c r="N104" s="47">
        <f>N$102*(1-N$47/100)</f>
        <v>3.7065217875701874E-6</v>
      </c>
      <c r="O104" s="47">
        <f t="shared" ref="O104:Y104" si="11">O$102*(1-O$47/100)</f>
        <v>3.7065217875701874E-6</v>
      </c>
      <c r="P104" s="47">
        <f t="shared" si="11"/>
        <v>3.7065217875701874E-6</v>
      </c>
      <c r="Q104" s="42">
        <f t="shared" si="10"/>
        <v>7.3999999999999999E-4</v>
      </c>
      <c r="R104" s="47">
        <f t="shared" si="11"/>
        <v>3.7065217875701874E-6</v>
      </c>
      <c r="S104" s="47">
        <v>1E-4</v>
      </c>
      <c r="T104" s="47">
        <f t="shared" si="11"/>
        <v>3.7065217875701874E-6</v>
      </c>
      <c r="U104" s="47">
        <f t="shared" si="11"/>
        <v>3.7065217875701874E-6</v>
      </c>
      <c r="V104" s="48">
        <f>V$102*(1-V$47/100)</f>
        <v>0.12359361702127658</v>
      </c>
      <c r="W104" s="47">
        <f t="shared" si="11"/>
        <v>4.9420290500935832E-6</v>
      </c>
      <c r="X104" s="47">
        <f t="shared" si="11"/>
        <v>3.7065217875701874E-6</v>
      </c>
      <c r="Y104" s="47">
        <f t="shared" si="11"/>
        <v>4.9420290500935832E-6</v>
      </c>
      <c r="Z104" s="46">
        <f>Z$102*(1-Z$47/100)</f>
        <v>0.12359361702127658</v>
      </c>
    </row>
    <row r="105" spans="1:26" x14ac:dyDescent="0.25">
      <c r="A105" s="30"/>
      <c r="B105" s="26"/>
      <c r="C105" s="26"/>
      <c r="D105" s="26"/>
      <c r="E105" s="26" t="s">
        <v>117</v>
      </c>
      <c r="F105" s="26"/>
      <c r="G105" s="26"/>
      <c r="H105" s="26"/>
      <c r="I105" s="26"/>
      <c r="J105" s="26"/>
      <c r="K105" s="27"/>
      <c r="L105" s="45">
        <f>$L$35*$L$43^0.91*25^1.02*(1-61/(4*365))*(1-$L$47/100)</f>
        <v>5.5184538975392673E-3</v>
      </c>
      <c r="M105" s="41">
        <f>$M$35*($M$43/12)^0.7*(25/3)^0.45*(365-$M$38)/365*(1-$M$47/100)</f>
        <v>7.1361509735939467E-3</v>
      </c>
      <c r="N105" s="47">
        <f>N$104*(1-N$47/100)</f>
        <v>1.1119565362710565E-6</v>
      </c>
      <c r="O105" s="47">
        <f t="shared" ref="O105:Y105" si="12">O$104*(1-O$47/100)</f>
        <v>1.1119565362710565E-6</v>
      </c>
      <c r="P105" s="47">
        <f t="shared" si="12"/>
        <v>1.1119565362710565E-6</v>
      </c>
      <c r="Q105" s="42">
        <f t="shared" si="10"/>
        <v>7.3999999999999999E-4</v>
      </c>
      <c r="R105" s="47">
        <f t="shared" si="12"/>
        <v>1.1119565362710565E-6</v>
      </c>
      <c r="S105" s="47">
        <v>1E-4</v>
      </c>
      <c r="T105" s="47">
        <f t="shared" si="12"/>
        <v>1.1119565362710565E-6</v>
      </c>
      <c r="U105" s="47">
        <f t="shared" si="12"/>
        <v>1.1119565362710565E-6</v>
      </c>
      <c r="V105" s="48">
        <f>V$103*(1-V$47/100)</f>
        <v>2.4718723404255318E-2</v>
      </c>
      <c r="W105" s="47">
        <f t="shared" si="12"/>
        <v>1.9768116200374334E-6</v>
      </c>
      <c r="X105" s="47">
        <f t="shared" si="12"/>
        <v>1.1119565362710565E-6</v>
      </c>
      <c r="Y105" s="47">
        <f t="shared" si="12"/>
        <v>1.9768116200374334E-6</v>
      </c>
      <c r="Z105" s="46">
        <f>Z$103*(1-Z$47/100)</f>
        <v>2.4718723404255318E-2</v>
      </c>
    </row>
    <row r="106" spans="1:26" x14ac:dyDescent="0.25">
      <c r="A106" s="30"/>
      <c r="B106" s="26"/>
      <c r="C106" s="26"/>
      <c r="D106" s="26"/>
      <c r="E106" s="26"/>
      <c r="F106" s="26"/>
      <c r="G106" s="26"/>
      <c r="H106" s="26"/>
      <c r="I106" s="26"/>
      <c r="J106" s="26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35"/>
    </row>
    <row r="107" spans="1:26" x14ac:dyDescent="0.25">
      <c r="A107" s="25" t="s">
        <v>208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35"/>
    </row>
    <row r="108" spans="1:26" x14ac:dyDescent="0.25">
      <c r="A108" s="25" t="s">
        <v>26</v>
      </c>
      <c r="B108" s="26"/>
      <c r="C108" s="26"/>
      <c r="D108" s="26" t="s">
        <v>209</v>
      </c>
      <c r="E108" s="26"/>
      <c r="F108" s="26"/>
      <c r="G108" s="26"/>
      <c r="H108" s="26"/>
      <c r="I108" s="26"/>
      <c r="J108" s="26"/>
      <c r="K108" s="27"/>
      <c r="L108" s="48">
        <f>L92*$L$18/$L$7</f>
        <v>1.0960262602057156</v>
      </c>
      <c r="M108" s="48">
        <f>M92*$M$18/$M$7</f>
        <v>0.38949508466707639</v>
      </c>
      <c r="N108" s="42">
        <f>N$92*N$12</f>
        <v>8.6942412949193512E-3</v>
      </c>
      <c r="O108" s="42">
        <f t="shared" ref="O108:Y108" si="13">O$92*O$12</f>
        <v>8.6942412949193512E-3</v>
      </c>
      <c r="P108" s="42">
        <f t="shared" si="13"/>
        <v>8.6942412949193512E-3</v>
      </c>
      <c r="Q108" s="42">
        <f>Q$92*Q$12/24</f>
        <v>1.5400000000000002E-2</v>
      </c>
      <c r="R108" s="42">
        <f t="shared" si="13"/>
        <v>8.6942412949193512E-3</v>
      </c>
      <c r="S108" s="42">
        <f>S$90*S$12/24</f>
        <v>3.78E-2</v>
      </c>
      <c r="T108" s="42">
        <f t="shared" si="13"/>
        <v>8.6942412949193512E-3</v>
      </c>
      <c r="U108" s="42">
        <f t="shared" si="13"/>
        <v>8.6942412949193512E-3</v>
      </c>
      <c r="V108" s="73">
        <f>V$92/V$7*V$27</f>
        <v>0.22315514184397164</v>
      </c>
      <c r="W108" s="42">
        <f t="shared" si="13"/>
        <v>1.1592321726559133E-2</v>
      </c>
      <c r="X108" s="42">
        <f t="shared" si="13"/>
        <v>8.6942412949193512E-3</v>
      </c>
      <c r="Y108" s="42">
        <f t="shared" si="13"/>
        <v>1.1592321726559133E-2</v>
      </c>
      <c r="Z108" s="49">
        <f>Z$92/Z$7*Z$27</f>
        <v>0.22315514184397164</v>
      </c>
    </row>
    <row r="109" spans="1:26" x14ac:dyDescent="0.25">
      <c r="A109" s="30"/>
      <c r="B109" s="26"/>
      <c r="C109" s="26"/>
      <c r="D109" s="26" t="s">
        <v>210</v>
      </c>
      <c r="E109" s="26"/>
      <c r="F109" s="26"/>
      <c r="G109" s="26"/>
      <c r="H109" s="26"/>
      <c r="I109" s="26"/>
      <c r="J109" s="26"/>
      <c r="K109" s="27"/>
      <c r="L109" s="48">
        <f>L93*$L$18*$L$8/2000</f>
        <v>2.400297509850517</v>
      </c>
      <c r="M109" s="48">
        <f>M93*$M$18*$M$8/2000</f>
        <v>1.7059884708417947</v>
      </c>
      <c r="N109" s="42">
        <f>N$93*N$14/2000</f>
        <v>7.7402302938683115E-3</v>
      </c>
      <c r="O109" s="42">
        <f t="shared" ref="O109:Y109" si="14">O$93*O$14/2000</f>
        <v>7.7402302938683115E-3</v>
      </c>
      <c r="P109" s="42">
        <f t="shared" si="14"/>
        <v>7.7402302938683115E-3</v>
      </c>
      <c r="Q109" s="42">
        <f>Q108*8760/2000</f>
        <v>6.7452000000000012E-2</v>
      </c>
      <c r="R109" s="42">
        <f t="shared" si="14"/>
        <v>7.7402302938683115E-3</v>
      </c>
      <c r="S109" s="42">
        <f>S108*8760/2000</f>
        <v>0.16556399999999999</v>
      </c>
      <c r="T109" s="42">
        <f t="shared" si="14"/>
        <v>7.7402302938683115E-3</v>
      </c>
      <c r="U109" s="42">
        <f t="shared" si="14"/>
        <v>7.7402302938683115E-3</v>
      </c>
      <c r="V109" s="73">
        <f>V$93*V$8*V$27/2000</f>
        <v>0.19548390425531917</v>
      </c>
      <c r="W109" s="42">
        <f t="shared" si="14"/>
        <v>1.0320307058491083E-2</v>
      </c>
      <c r="X109" s="42">
        <f t="shared" si="14"/>
        <v>7.7402302938683115E-3</v>
      </c>
      <c r="Y109" s="42">
        <f t="shared" si="14"/>
        <v>1.0320307058491083E-2</v>
      </c>
      <c r="Z109" s="49">
        <f>Z$93*Z$8*Z$27/2000</f>
        <v>0.19548390425531917</v>
      </c>
    </row>
    <row r="110" spans="1:26" x14ac:dyDescent="0.25">
      <c r="A110" s="30"/>
      <c r="B110" s="26"/>
      <c r="C110" s="26"/>
      <c r="D110" s="26"/>
      <c r="E110" s="26"/>
      <c r="F110" s="26"/>
      <c r="G110" s="26"/>
      <c r="H110" s="26"/>
      <c r="I110" s="26"/>
      <c r="J110" s="26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35"/>
    </row>
    <row r="111" spans="1:26" ht="18" x14ac:dyDescent="0.35">
      <c r="A111" s="25" t="s">
        <v>211</v>
      </c>
      <c r="B111" s="26"/>
      <c r="C111" s="26"/>
      <c r="D111" s="26" t="s">
        <v>209</v>
      </c>
      <c r="E111" s="26"/>
      <c r="F111" s="26"/>
      <c r="G111" s="26"/>
      <c r="H111" s="26"/>
      <c r="I111" s="26"/>
      <c r="J111" s="26"/>
      <c r="K111" s="27"/>
      <c r="L111" s="48">
        <f>L98*$L$18/$L$7</f>
        <v>0.21920525204114308</v>
      </c>
      <c r="M111" s="48">
        <f>M98*$M$18/$M$7</f>
        <v>0.11923318918379888</v>
      </c>
      <c r="N111" s="42">
        <f>N$98*N$12</f>
        <v>4.1121411530023952E-3</v>
      </c>
      <c r="O111" s="42">
        <f t="shared" ref="O111:Y111" si="15">O$98*O$12</f>
        <v>4.1121411530023952E-3</v>
      </c>
      <c r="P111" s="42">
        <f t="shared" si="15"/>
        <v>4.1121411530023952E-3</v>
      </c>
      <c r="Q111" s="42">
        <f>Q$98*Q$12/24</f>
        <v>5.1799999999999997E-3</v>
      </c>
      <c r="R111" s="42">
        <f t="shared" si="15"/>
        <v>4.1121411530023952E-3</v>
      </c>
      <c r="S111" s="42">
        <f>S$97*S$12/24</f>
        <v>1.6799999999999999E-2</v>
      </c>
      <c r="T111" s="42">
        <f t="shared" si="15"/>
        <v>4.1121411530023952E-3</v>
      </c>
      <c r="U111" s="42">
        <f t="shared" si="15"/>
        <v>4.1121411530023952E-3</v>
      </c>
      <c r="V111" s="73">
        <f>V$98/V$7*V$27</f>
        <v>0.11157757092198582</v>
      </c>
      <c r="W111" s="42">
        <f t="shared" si="15"/>
        <v>5.4828548706698605E-3</v>
      </c>
      <c r="X111" s="42">
        <f t="shared" si="15"/>
        <v>4.1121411530023952E-3</v>
      </c>
      <c r="Y111" s="42">
        <f t="shared" si="15"/>
        <v>5.4828548706698605E-3</v>
      </c>
      <c r="Z111" s="49">
        <f>Z$98/Z$7*Z$27</f>
        <v>0.11157757092198582</v>
      </c>
    </row>
    <row r="112" spans="1:26" x14ac:dyDescent="0.25">
      <c r="A112" s="30"/>
      <c r="B112" s="26"/>
      <c r="C112" s="26"/>
      <c r="D112" s="26" t="s">
        <v>210</v>
      </c>
      <c r="E112" s="26"/>
      <c r="F112" s="26"/>
      <c r="G112" s="26"/>
      <c r="H112" s="26"/>
      <c r="I112" s="26"/>
      <c r="J112" s="26"/>
      <c r="K112" s="27"/>
      <c r="L112" s="48">
        <f>L99*$L$18*$L$8/2000</f>
        <v>0.48005950197010339</v>
      </c>
      <c r="M112" s="48">
        <f>M99*$M$18*$M$8/2000</f>
        <v>0.522241368625039</v>
      </c>
      <c r="N112" s="42">
        <f>N$99*N$14/2000</f>
        <v>3.660919733586363E-3</v>
      </c>
      <c r="O112" s="42">
        <f t="shared" ref="O112:Y112" si="16">O$99*O$14/2000</f>
        <v>3.660919733586363E-3</v>
      </c>
      <c r="P112" s="42">
        <f t="shared" si="16"/>
        <v>3.660919733586363E-3</v>
      </c>
      <c r="Q112" s="42">
        <f>Q111*8760/2000</f>
        <v>2.2688399999999997E-2</v>
      </c>
      <c r="R112" s="42">
        <f t="shared" si="16"/>
        <v>3.660919733586363E-3</v>
      </c>
      <c r="S112" s="42">
        <f>S111*8760/2000</f>
        <v>7.3583999999999983E-2</v>
      </c>
      <c r="T112" s="42">
        <f t="shared" si="16"/>
        <v>3.660919733586363E-3</v>
      </c>
      <c r="U112" s="42">
        <f t="shared" si="16"/>
        <v>3.660919733586363E-3</v>
      </c>
      <c r="V112" s="73">
        <f>V$99*V$8*V$27/2000</f>
        <v>9.7741952127659584E-2</v>
      </c>
      <c r="W112" s="42">
        <f t="shared" si="16"/>
        <v>4.881226311448484E-3</v>
      </c>
      <c r="X112" s="42">
        <f t="shared" si="16"/>
        <v>3.660919733586363E-3</v>
      </c>
      <c r="Y112" s="42">
        <f t="shared" si="16"/>
        <v>4.881226311448484E-3</v>
      </c>
      <c r="Z112" s="49">
        <f>Z$99*Z$8*Z$27/2000</f>
        <v>9.7741952127659584E-2</v>
      </c>
    </row>
    <row r="113" spans="1:26" x14ac:dyDescent="0.25">
      <c r="A113" s="30"/>
      <c r="B113" s="26"/>
      <c r="C113" s="26"/>
      <c r="D113" s="26"/>
      <c r="E113" s="26"/>
      <c r="F113" s="26"/>
      <c r="G113" s="26"/>
      <c r="H113" s="26"/>
      <c r="I113" s="26"/>
      <c r="J113" s="26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35"/>
    </row>
    <row r="114" spans="1:26" ht="18" x14ac:dyDescent="0.35">
      <c r="A114" s="25" t="s">
        <v>212</v>
      </c>
      <c r="B114" s="26"/>
      <c r="C114" s="26"/>
      <c r="D114" s="26" t="s">
        <v>209</v>
      </c>
      <c r="E114" s="26"/>
      <c r="F114" s="26"/>
      <c r="G114" s="26"/>
      <c r="H114" s="26"/>
      <c r="I114" s="26"/>
      <c r="J114" s="26"/>
      <c r="K114" s="27"/>
      <c r="L114" s="48">
        <f>L104*$L$18/$L$7</f>
        <v>5.3804925501007857E-2</v>
      </c>
      <c r="M114" s="48">
        <f>M104*$M$18/$M$7</f>
        <v>1.1923318918379886E-2</v>
      </c>
      <c r="N114" s="42">
        <f>N$104*N$12</f>
        <v>6.2269566031179151E-4</v>
      </c>
      <c r="O114" s="42">
        <f t="shared" ref="O114:Y114" si="17">O$104*O$12</f>
        <v>6.2269566031179151E-4</v>
      </c>
      <c r="P114" s="42">
        <f t="shared" si="17"/>
        <v>6.2269566031179151E-4</v>
      </c>
      <c r="Q114" s="42">
        <f>Q$104*Q$12/24</f>
        <v>5.1799999999999997E-3</v>
      </c>
      <c r="R114" s="42">
        <f t="shared" si="17"/>
        <v>6.2269566031179151E-4</v>
      </c>
      <c r="S114" s="42">
        <f>S$103*S$12/24</f>
        <v>1.6799999999999999E-2</v>
      </c>
      <c r="T114" s="42">
        <f t="shared" si="17"/>
        <v>6.2269566031179151E-4</v>
      </c>
      <c r="U114" s="42">
        <f t="shared" si="17"/>
        <v>6.2269566031179151E-4</v>
      </c>
      <c r="V114" s="73">
        <f>V$104/V$7*V$27</f>
        <v>1.6736635638297869E-2</v>
      </c>
      <c r="W114" s="42">
        <f t="shared" si="17"/>
        <v>8.3026088041572197E-4</v>
      </c>
      <c r="X114" s="42">
        <f t="shared" si="17"/>
        <v>6.2269566031179151E-4</v>
      </c>
      <c r="Y114" s="42">
        <f t="shared" si="17"/>
        <v>8.3026088041572197E-4</v>
      </c>
      <c r="Z114" s="49">
        <f>Z$104/Z$7*Z$27</f>
        <v>1.6736635638297869E-2</v>
      </c>
    </row>
    <row r="115" spans="1:26" x14ac:dyDescent="0.25">
      <c r="A115" s="50"/>
      <c r="B115" s="31"/>
      <c r="C115" s="31"/>
      <c r="D115" s="31" t="s">
        <v>210</v>
      </c>
      <c r="E115" s="31"/>
      <c r="F115" s="31"/>
      <c r="G115" s="31"/>
      <c r="H115" s="31"/>
      <c r="I115" s="31"/>
      <c r="J115" s="31"/>
      <c r="K115" s="51"/>
      <c r="L115" s="52">
        <f>L105*$L$18*$L$8/2000</f>
        <v>0.11783278684720722</v>
      </c>
      <c r="M115" s="52">
        <f>M105*$M$18*$M$8/2000</f>
        <v>5.2224136862503899E-2</v>
      </c>
      <c r="N115" s="53">
        <f>N$105*N$14/2000</f>
        <v>4.095041254604189E-4</v>
      </c>
      <c r="O115" s="53">
        <f t="shared" ref="O115:Y115" si="18">O$105*O$14/2000</f>
        <v>4.095041254604189E-4</v>
      </c>
      <c r="P115" s="53">
        <f t="shared" si="18"/>
        <v>4.095041254604189E-4</v>
      </c>
      <c r="Q115" s="53">
        <f>Q114*8760/2000</f>
        <v>2.2688399999999997E-2</v>
      </c>
      <c r="R115" s="53">
        <f t="shared" si="18"/>
        <v>4.095041254604189E-4</v>
      </c>
      <c r="S115" s="53">
        <f>S114*8760/2000</f>
        <v>7.3583999999999983E-2</v>
      </c>
      <c r="T115" s="53">
        <f t="shared" si="18"/>
        <v>4.095041254604189E-4</v>
      </c>
      <c r="U115" s="53">
        <f t="shared" si="18"/>
        <v>4.095041254604189E-4</v>
      </c>
      <c r="V115" s="74">
        <f>V$105*V$8*V$27/2000</f>
        <v>1.4661292819148937E-2</v>
      </c>
      <c r="W115" s="53">
        <f t="shared" si="18"/>
        <v>7.2800733415185573E-4</v>
      </c>
      <c r="X115" s="53">
        <f t="shared" si="18"/>
        <v>4.095041254604189E-4</v>
      </c>
      <c r="Y115" s="53">
        <f t="shared" si="18"/>
        <v>7.2800733415185573E-4</v>
      </c>
      <c r="Z115" s="54">
        <f>Z$105*Z$8*Z$27/2000</f>
        <v>1.4661292819148937E-2</v>
      </c>
    </row>
    <row r="116" spans="1:26" ht="17.25" x14ac:dyDescent="0.25">
      <c r="A116" s="55" t="s">
        <v>303</v>
      </c>
      <c r="B116" t="s">
        <v>213</v>
      </c>
    </row>
    <row r="117" spans="1:26" ht="17.25" x14ac:dyDescent="0.25">
      <c r="A117" s="55" t="s">
        <v>214</v>
      </c>
      <c r="B117" t="s">
        <v>215</v>
      </c>
    </row>
  </sheetData>
  <mergeCells count="1">
    <mergeCell ref="A5:I5"/>
  </mergeCells>
  <pageMargins left="0.7" right="0.7" top="0.75" bottom="0.75" header="0.3" footer="0.3"/>
  <pageSetup paperSize="17" scale="39" orientation="landscape" r:id="rId1"/>
  <ignoredErrors>
    <ignoredError sqref="Q102:Q1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view="pageBreakPreview" zoomScale="70" zoomScaleNormal="100" zoomScaleSheetLayoutView="70" workbookViewId="0"/>
  </sheetViews>
  <sheetFormatPr defaultRowHeight="15" x14ac:dyDescent="0.25"/>
  <cols>
    <col min="11" max="11" width="22.28515625" style="19" bestFit="1" customWidth="1"/>
    <col min="12" max="12" width="25.5703125" style="19" bestFit="1" customWidth="1"/>
    <col min="13" max="13" width="27" style="19" bestFit="1" customWidth="1"/>
    <col min="14" max="14" width="27" style="19" customWidth="1"/>
    <col min="15" max="15" width="24" style="19" bestFit="1" customWidth="1"/>
    <col min="16" max="16" width="21.28515625" style="19" bestFit="1" customWidth="1"/>
    <col min="17" max="17" width="22.5703125" style="19" bestFit="1" customWidth="1"/>
    <col min="18" max="18" width="23.28515625" style="19" bestFit="1" customWidth="1"/>
    <col min="19" max="19" width="23.28515625" style="19" customWidth="1"/>
    <col min="20" max="20" width="3.7109375" customWidth="1"/>
  </cols>
  <sheetData>
    <row r="1" spans="1:19" x14ac:dyDescent="0.25">
      <c r="A1" s="18" t="s">
        <v>350</v>
      </c>
    </row>
    <row r="2" spans="1:19" ht="33" customHeight="1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3"/>
      <c r="M2" s="23"/>
      <c r="N2" s="23"/>
      <c r="O2" s="23"/>
      <c r="P2" s="173"/>
      <c r="Q2" s="23"/>
      <c r="R2" s="23"/>
      <c r="S2" s="103"/>
    </row>
    <row r="3" spans="1:19" ht="30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  <c r="L3" s="56" t="s">
        <v>216</v>
      </c>
      <c r="M3" s="28" t="s">
        <v>217</v>
      </c>
      <c r="N3" s="56" t="s">
        <v>363</v>
      </c>
      <c r="O3" s="56" t="s">
        <v>218</v>
      </c>
      <c r="P3" s="56" t="s">
        <v>219</v>
      </c>
      <c r="Q3" s="56" t="s">
        <v>220</v>
      </c>
      <c r="R3" s="56" t="s">
        <v>221</v>
      </c>
      <c r="S3" s="211" t="s">
        <v>314</v>
      </c>
    </row>
    <row r="4" spans="1:19" x14ac:dyDescent="0.25">
      <c r="A4" s="30"/>
      <c r="B4" s="26"/>
      <c r="C4" s="26"/>
      <c r="D4" s="26"/>
      <c r="E4" s="26"/>
      <c r="F4" s="26"/>
      <c r="G4" s="26"/>
      <c r="H4" s="26"/>
      <c r="I4" s="26"/>
      <c r="J4" s="26"/>
      <c r="K4" s="28" t="s">
        <v>99</v>
      </c>
      <c r="L4" s="28" t="s">
        <v>93</v>
      </c>
      <c r="M4" s="28" t="s">
        <v>222</v>
      </c>
      <c r="N4" s="28" t="s">
        <v>93</v>
      </c>
      <c r="O4" s="28" t="s">
        <v>93</v>
      </c>
      <c r="P4" s="28" t="s">
        <v>93</v>
      </c>
      <c r="Q4" s="28" t="s">
        <v>93</v>
      </c>
      <c r="R4" s="28" t="s">
        <v>93</v>
      </c>
      <c r="S4" s="211"/>
    </row>
    <row r="5" spans="1:19" x14ac:dyDescent="0.25">
      <c r="A5" s="209" t="s">
        <v>109</v>
      </c>
      <c r="B5" s="210"/>
      <c r="C5" s="210"/>
      <c r="D5" s="210"/>
      <c r="E5" s="210"/>
      <c r="F5" s="210"/>
      <c r="G5" s="210"/>
      <c r="H5" s="210"/>
      <c r="I5" s="210"/>
      <c r="J5" s="31"/>
      <c r="K5" s="32" t="s">
        <v>110</v>
      </c>
      <c r="L5" s="32" t="s">
        <v>35</v>
      </c>
      <c r="M5" s="32" t="s">
        <v>36</v>
      </c>
      <c r="N5" s="171" t="s">
        <v>37</v>
      </c>
      <c r="O5" s="171" t="s">
        <v>364</v>
      </c>
      <c r="P5" s="171" t="s">
        <v>42</v>
      </c>
      <c r="Q5" s="171" t="s">
        <v>69</v>
      </c>
      <c r="R5" s="75" t="s">
        <v>359</v>
      </c>
      <c r="S5" s="104"/>
    </row>
    <row r="6" spans="1:19" x14ac:dyDescent="0.25">
      <c r="A6" s="20" t="s">
        <v>112</v>
      </c>
      <c r="B6" s="21"/>
      <c r="C6" s="21"/>
      <c r="D6" s="21"/>
      <c r="E6" s="21"/>
      <c r="F6" s="21"/>
      <c r="G6" s="21"/>
      <c r="H6" s="21"/>
      <c r="I6" s="21"/>
      <c r="J6" s="21"/>
      <c r="K6" s="22"/>
      <c r="L6" s="22"/>
      <c r="M6" s="22"/>
      <c r="N6" s="22"/>
      <c r="O6" s="22"/>
      <c r="P6" s="22"/>
      <c r="Q6" s="22"/>
      <c r="R6" s="22"/>
      <c r="S6" s="57"/>
    </row>
    <row r="7" spans="1:19" x14ac:dyDescent="0.25">
      <c r="A7" s="30" t="s">
        <v>113</v>
      </c>
      <c r="B7" s="26"/>
      <c r="C7" s="26"/>
      <c r="D7" s="26"/>
      <c r="E7" s="26" t="s">
        <v>114</v>
      </c>
      <c r="F7" s="26"/>
      <c r="G7" s="26"/>
      <c r="H7" s="26"/>
      <c r="I7" s="26"/>
      <c r="J7" s="26"/>
      <c r="K7" s="27" t="s">
        <v>115</v>
      </c>
      <c r="L7" s="27">
        <v>24</v>
      </c>
      <c r="M7" s="27">
        <v>24</v>
      </c>
      <c r="N7" s="27">
        <v>24</v>
      </c>
      <c r="O7" s="27">
        <v>24</v>
      </c>
      <c r="P7" s="27">
        <v>24</v>
      </c>
      <c r="Q7" s="27">
        <v>24</v>
      </c>
      <c r="R7" s="27">
        <v>24</v>
      </c>
      <c r="S7" s="57">
        <v>12</v>
      </c>
    </row>
    <row r="8" spans="1:19" x14ac:dyDescent="0.25">
      <c r="A8" s="30"/>
      <c r="B8" s="26" t="s">
        <v>116</v>
      </c>
      <c r="C8" s="26"/>
      <c r="D8" s="26"/>
      <c r="E8" s="26" t="s">
        <v>117</v>
      </c>
      <c r="F8" s="26"/>
      <c r="G8" s="26"/>
      <c r="H8" s="26"/>
      <c r="I8" s="26"/>
      <c r="J8" s="26"/>
      <c r="K8" s="27" t="s">
        <v>118</v>
      </c>
      <c r="L8" s="27">
        <v>365</v>
      </c>
      <c r="M8" s="27">
        <v>365</v>
      </c>
      <c r="N8" s="27">
        <v>365</v>
      </c>
      <c r="O8" s="27">
        <v>365</v>
      </c>
      <c r="P8" s="27">
        <v>365</v>
      </c>
      <c r="Q8" s="27">
        <v>365</v>
      </c>
      <c r="R8" s="27">
        <v>365</v>
      </c>
      <c r="S8" s="57">
        <v>260</v>
      </c>
    </row>
    <row r="9" spans="1:19" x14ac:dyDescent="0.25">
      <c r="A9" s="30"/>
      <c r="B9" s="26"/>
      <c r="C9" s="26"/>
      <c r="D9" s="26"/>
      <c r="E9" s="26"/>
      <c r="F9" s="26"/>
      <c r="G9" s="26"/>
      <c r="H9" s="26"/>
      <c r="I9" s="26"/>
      <c r="J9" s="26"/>
      <c r="K9" s="27"/>
      <c r="L9" s="27"/>
      <c r="M9" s="27"/>
      <c r="N9" s="27"/>
      <c r="O9" s="27"/>
      <c r="P9" s="27"/>
      <c r="Q9" s="27"/>
      <c r="R9" s="27"/>
      <c r="S9" s="57"/>
    </row>
    <row r="10" spans="1:19" x14ac:dyDescent="0.25">
      <c r="A10" s="25" t="s">
        <v>119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27"/>
      <c r="N10" s="27"/>
      <c r="O10" s="27"/>
      <c r="P10" s="27"/>
      <c r="Q10" s="27"/>
      <c r="R10" s="27"/>
      <c r="S10" s="57"/>
    </row>
    <row r="11" spans="1:19" x14ac:dyDescent="0.25">
      <c r="A11" s="30" t="s">
        <v>120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7" t="s">
        <v>121</v>
      </c>
      <c r="M11" s="27" t="s">
        <v>121</v>
      </c>
      <c r="N11" s="27" t="s">
        <v>121</v>
      </c>
      <c r="O11" s="27" t="s">
        <v>121</v>
      </c>
      <c r="P11" s="27" t="s">
        <v>121</v>
      </c>
      <c r="Q11" s="27" t="s">
        <v>121</v>
      </c>
      <c r="R11" s="27" t="s">
        <v>121</v>
      </c>
      <c r="S11" s="57" t="s">
        <v>315</v>
      </c>
    </row>
    <row r="12" spans="1:19" x14ac:dyDescent="0.25">
      <c r="A12" s="30" t="s">
        <v>122</v>
      </c>
      <c r="B12" s="26"/>
      <c r="C12" s="26"/>
      <c r="D12" s="26"/>
      <c r="E12" s="26"/>
      <c r="F12" s="26"/>
      <c r="G12" s="26"/>
      <c r="H12" s="26"/>
      <c r="I12" s="26"/>
      <c r="J12" s="26"/>
      <c r="K12" s="27"/>
      <c r="L12" s="27">
        <v>84</v>
      </c>
      <c r="M12" s="27">
        <v>84</v>
      </c>
      <c r="N12" s="27">
        <v>84</v>
      </c>
      <c r="O12" s="27">
        <v>84</v>
      </c>
      <c r="P12" s="27">
        <v>84</v>
      </c>
      <c r="Q12" s="27">
        <v>84</v>
      </c>
      <c r="R12" s="27">
        <v>84</v>
      </c>
      <c r="S12" s="57">
        <v>0.4</v>
      </c>
    </row>
    <row r="13" spans="1:19" x14ac:dyDescent="0.25">
      <c r="A13" s="30"/>
      <c r="B13" s="26"/>
      <c r="C13" s="26" t="s">
        <v>123</v>
      </c>
      <c r="D13" s="26"/>
      <c r="E13" s="26" t="s">
        <v>124</v>
      </c>
      <c r="F13" s="26"/>
      <c r="G13" s="26"/>
      <c r="H13" s="26"/>
      <c r="I13" s="26"/>
      <c r="J13" s="26"/>
      <c r="K13" s="27" t="s">
        <v>125</v>
      </c>
      <c r="L13" s="36">
        <v>2018</v>
      </c>
      <c r="M13" s="36">
        <v>2018</v>
      </c>
      <c r="N13" s="36">
        <v>2018</v>
      </c>
      <c r="O13" s="36">
        <v>2018</v>
      </c>
      <c r="P13" s="36">
        <v>2018</v>
      </c>
      <c r="Q13" s="36">
        <v>2018</v>
      </c>
      <c r="R13" s="36">
        <v>2018</v>
      </c>
      <c r="S13" s="105" t="s">
        <v>316</v>
      </c>
    </row>
    <row r="14" spans="1:19" x14ac:dyDescent="0.25">
      <c r="A14" s="30"/>
      <c r="B14" s="26"/>
      <c r="C14" s="26" t="s">
        <v>30</v>
      </c>
      <c r="D14" s="26"/>
      <c r="E14" s="26" t="s">
        <v>117</v>
      </c>
      <c r="F14" s="26"/>
      <c r="G14" s="26"/>
      <c r="H14" s="26"/>
      <c r="I14" s="26"/>
      <c r="J14" s="26"/>
      <c r="K14" s="27" t="s">
        <v>127</v>
      </c>
      <c r="L14" s="36">
        <v>736547</v>
      </c>
      <c r="M14" s="36">
        <v>736547</v>
      </c>
      <c r="N14" s="36">
        <v>736547</v>
      </c>
      <c r="O14" s="36">
        <v>736547</v>
      </c>
      <c r="P14" s="36">
        <v>736547</v>
      </c>
      <c r="Q14" s="36">
        <v>736547</v>
      </c>
      <c r="R14" s="36">
        <v>736547</v>
      </c>
      <c r="S14" s="105" t="s">
        <v>316</v>
      </c>
    </row>
    <row r="15" spans="1:19" x14ac:dyDescent="0.25">
      <c r="A15" s="30" t="s">
        <v>128</v>
      </c>
      <c r="B15" s="26"/>
      <c r="C15" s="26"/>
      <c r="D15" s="26"/>
      <c r="E15" s="26"/>
      <c r="F15" s="26"/>
      <c r="G15" s="26"/>
      <c r="H15" s="26"/>
      <c r="I15" s="26"/>
      <c r="J15" s="26"/>
      <c r="K15" s="27" t="s">
        <v>40</v>
      </c>
      <c r="L15" s="27">
        <v>35</v>
      </c>
      <c r="M15" s="27">
        <v>35</v>
      </c>
      <c r="N15" s="27">
        <v>35</v>
      </c>
      <c r="O15" s="27">
        <v>35</v>
      </c>
      <c r="P15" s="27">
        <v>35</v>
      </c>
      <c r="Q15" s="27">
        <v>35</v>
      </c>
      <c r="R15" s="27">
        <v>35</v>
      </c>
      <c r="S15" s="57" t="s">
        <v>316</v>
      </c>
    </row>
    <row r="16" spans="1:19" x14ac:dyDescent="0.25">
      <c r="A16" s="30"/>
      <c r="B16" s="26"/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27"/>
      <c r="N16" s="27"/>
      <c r="O16" s="27"/>
      <c r="P16" s="27"/>
      <c r="Q16" s="27"/>
      <c r="R16" s="27"/>
      <c r="S16" s="57"/>
    </row>
    <row r="17" spans="1:19" x14ac:dyDescent="0.25">
      <c r="A17" s="30" t="s">
        <v>130</v>
      </c>
      <c r="B17" s="26"/>
      <c r="C17" s="26"/>
      <c r="D17" s="26"/>
      <c r="E17" s="26"/>
      <c r="F17" s="26"/>
      <c r="G17" s="26"/>
      <c r="H17" s="26"/>
      <c r="I17" s="26"/>
      <c r="J17" s="26"/>
      <c r="K17" s="27" t="s">
        <v>131</v>
      </c>
      <c r="L17" s="27">
        <v>1</v>
      </c>
      <c r="M17" s="27">
        <v>1</v>
      </c>
      <c r="N17" s="27">
        <v>1</v>
      </c>
      <c r="O17" s="27">
        <v>1</v>
      </c>
      <c r="P17" s="27">
        <v>1</v>
      </c>
      <c r="Q17" s="27">
        <v>1</v>
      </c>
      <c r="R17" s="27">
        <v>1</v>
      </c>
      <c r="S17" s="57" t="s">
        <v>316</v>
      </c>
    </row>
    <row r="18" spans="1:19" x14ac:dyDescent="0.25">
      <c r="A18" s="30" t="s">
        <v>132</v>
      </c>
      <c r="B18" s="26"/>
      <c r="C18" s="26"/>
      <c r="D18" s="26"/>
      <c r="E18" s="26" t="s">
        <v>133</v>
      </c>
      <c r="F18" s="26"/>
      <c r="G18" s="26"/>
      <c r="H18" s="26"/>
      <c r="I18" s="26"/>
      <c r="J18" s="26"/>
      <c r="K18" s="27" t="s">
        <v>131</v>
      </c>
      <c r="L18" s="27" t="s">
        <v>129</v>
      </c>
      <c r="M18" s="27" t="s">
        <v>129</v>
      </c>
      <c r="N18" s="27" t="s">
        <v>129</v>
      </c>
      <c r="O18" s="27" t="s">
        <v>129</v>
      </c>
      <c r="P18" s="27" t="s">
        <v>129</v>
      </c>
      <c r="Q18" s="27" t="s">
        <v>129</v>
      </c>
      <c r="R18" s="27" t="s">
        <v>129</v>
      </c>
      <c r="S18" s="57">
        <v>0.3</v>
      </c>
    </row>
    <row r="19" spans="1:19" x14ac:dyDescent="0.25">
      <c r="A19" s="30" t="s">
        <v>134</v>
      </c>
      <c r="B19" s="26"/>
      <c r="C19" s="26"/>
      <c r="D19" s="26"/>
      <c r="E19" s="26" t="s">
        <v>133</v>
      </c>
      <c r="F19" s="26"/>
      <c r="G19" s="26"/>
      <c r="H19" s="26"/>
      <c r="I19" s="26"/>
      <c r="J19" s="26"/>
      <c r="K19" s="27" t="s">
        <v>131</v>
      </c>
      <c r="L19" s="27" t="s">
        <v>129</v>
      </c>
      <c r="M19" s="27" t="s">
        <v>129</v>
      </c>
      <c r="N19" s="27" t="s">
        <v>129</v>
      </c>
      <c r="O19" s="27" t="s">
        <v>129</v>
      </c>
      <c r="P19" s="27" t="s">
        <v>129</v>
      </c>
      <c r="Q19" s="27" t="s">
        <v>129</v>
      </c>
      <c r="R19" s="27" t="s">
        <v>129</v>
      </c>
      <c r="S19" s="57"/>
    </row>
    <row r="20" spans="1:19" x14ac:dyDescent="0.25">
      <c r="A20" s="30" t="s">
        <v>135</v>
      </c>
      <c r="B20" s="26"/>
      <c r="C20" s="26"/>
      <c r="D20" s="26"/>
      <c r="E20" s="26" t="s">
        <v>133</v>
      </c>
      <c r="F20" s="26"/>
      <c r="G20" s="26"/>
      <c r="H20" s="26"/>
      <c r="I20" s="26"/>
      <c r="J20" s="26"/>
      <c r="K20" s="27" t="s">
        <v>131</v>
      </c>
      <c r="L20" s="27" t="s">
        <v>129</v>
      </c>
      <c r="M20" s="27" t="s">
        <v>129</v>
      </c>
      <c r="N20" s="27" t="s">
        <v>129</v>
      </c>
      <c r="O20" s="27" t="s">
        <v>129</v>
      </c>
      <c r="P20" s="27" t="s">
        <v>129</v>
      </c>
      <c r="Q20" s="27" t="s">
        <v>129</v>
      </c>
      <c r="R20" s="27" t="s">
        <v>129</v>
      </c>
      <c r="S20" s="57"/>
    </row>
    <row r="21" spans="1:19" x14ac:dyDescent="0.25">
      <c r="A21" s="30"/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7"/>
      <c r="Q21" s="27"/>
      <c r="R21" s="27"/>
      <c r="S21" s="57"/>
    </row>
    <row r="22" spans="1:19" x14ac:dyDescent="0.25">
      <c r="A22" s="25" t="s">
        <v>143</v>
      </c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27"/>
      <c r="N22" s="27"/>
      <c r="O22" s="27"/>
      <c r="P22" s="27"/>
      <c r="Q22" s="27"/>
      <c r="R22" s="27"/>
      <c r="S22" s="57"/>
    </row>
    <row r="23" spans="1:19" x14ac:dyDescent="0.25">
      <c r="A23" s="30" t="s">
        <v>144</v>
      </c>
      <c r="B23" s="26"/>
      <c r="C23" s="26"/>
      <c r="D23" s="26"/>
      <c r="E23" s="26" t="s">
        <v>124</v>
      </c>
      <c r="F23" s="26"/>
      <c r="G23" s="26"/>
      <c r="H23" s="26"/>
      <c r="I23" s="26"/>
      <c r="J23" s="26"/>
      <c r="K23" s="27" t="s">
        <v>145</v>
      </c>
      <c r="L23" s="27">
        <v>14.5</v>
      </c>
      <c r="M23" s="27">
        <v>14.5</v>
      </c>
      <c r="N23" s="27">
        <v>14.5</v>
      </c>
      <c r="O23" s="27">
        <v>14.5</v>
      </c>
      <c r="P23" s="27">
        <v>14.5</v>
      </c>
      <c r="Q23" s="27">
        <v>14.5</v>
      </c>
      <c r="R23" s="27">
        <v>14.5</v>
      </c>
      <c r="S23" s="57">
        <v>14.5</v>
      </c>
    </row>
    <row r="24" spans="1:19" x14ac:dyDescent="0.25">
      <c r="A24" s="30"/>
      <c r="B24" s="26"/>
      <c r="C24" s="26"/>
      <c r="D24" s="26"/>
      <c r="E24" s="26" t="s">
        <v>117</v>
      </c>
      <c r="F24" s="26"/>
      <c r="G24" s="26"/>
      <c r="H24" s="26"/>
      <c r="I24" s="26"/>
      <c r="J24" s="26"/>
      <c r="K24" s="27" t="s">
        <v>145</v>
      </c>
      <c r="L24" s="27">
        <v>7.3</v>
      </c>
      <c r="M24" s="27">
        <v>7.3</v>
      </c>
      <c r="N24" s="27">
        <v>7.3</v>
      </c>
      <c r="O24" s="27">
        <v>7.3</v>
      </c>
      <c r="P24" s="27">
        <v>7.3</v>
      </c>
      <c r="Q24" s="27">
        <v>7.3</v>
      </c>
      <c r="R24" s="27">
        <v>7.3</v>
      </c>
      <c r="S24" s="57">
        <v>7.3</v>
      </c>
    </row>
    <row r="25" spans="1:19" x14ac:dyDescent="0.25">
      <c r="A25" s="30"/>
      <c r="B25" s="26"/>
      <c r="C25" s="26"/>
      <c r="D25" s="26"/>
      <c r="E25" s="26"/>
      <c r="F25" s="26"/>
      <c r="G25" s="26"/>
      <c r="H25" s="26"/>
      <c r="I25" s="26"/>
      <c r="J25" s="26"/>
      <c r="K25" s="27"/>
      <c r="L25" s="27"/>
      <c r="M25" s="27"/>
      <c r="N25" s="27"/>
      <c r="O25" s="27"/>
      <c r="P25" s="27"/>
      <c r="Q25" s="27"/>
      <c r="R25" s="27"/>
      <c r="S25" s="57"/>
    </row>
    <row r="26" spans="1:19" x14ac:dyDescent="0.25">
      <c r="A26" s="30" t="s">
        <v>146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  <c r="L26" s="27">
        <v>0.74</v>
      </c>
      <c r="M26" s="27">
        <v>0.74</v>
      </c>
      <c r="N26" s="27">
        <v>0.74</v>
      </c>
      <c r="O26" s="27">
        <v>0.74</v>
      </c>
      <c r="P26" s="27">
        <v>0.74</v>
      </c>
      <c r="Q26" s="27">
        <v>0.74</v>
      </c>
      <c r="R26" s="27">
        <v>0.74</v>
      </c>
      <c r="S26" s="57">
        <v>1.0999999999999999E-2</v>
      </c>
    </row>
    <row r="27" spans="1:19" ht="18" x14ac:dyDescent="0.35">
      <c r="A27" s="30" t="s">
        <v>147</v>
      </c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27">
        <v>0.35</v>
      </c>
      <c r="M27" s="27">
        <v>0.35</v>
      </c>
      <c r="N27" s="27">
        <v>0.35</v>
      </c>
      <c r="O27" s="27">
        <v>0.35</v>
      </c>
      <c r="P27" s="27">
        <v>0.35</v>
      </c>
      <c r="Q27" s="27">
        <v>0.35</v>
      </c>
      <c r="R27" s="27">
        <v>0.35</v>
      </c>
      <c r="S27" s="57">
        <v>2.2000000000000001E-3</v>
      </c>
    </row>
    <row r="28" spans="1:19" ht="18" x14ac:dyDescent="0.35">
      <c r="A28" s="30" t="s">
        <v>148</v>
      </c>
      <c r="B28" s="26"/>
      <c r="C28" s="26"/>
      <c r="D28" s="26"/>
      <c r="E28" s="26"/>
      <c r="F28" s="26"/>
      <c r="G28" s="26"/>
      <c r="H28" s="26"/>
      <c r="I28" s="26"/>
      <c r="J28" s="26"/>
      <c r="K28" s="27"/>
      <c r="L28" s="27">
        <v>5.2999999999999999E-2</v>
      </c>
      <c r="M28" s="27">
        <v>5.2999999999999999E-2</v>
      </c>
      <c r="N28" s="27">
        <v>5.2999999999999999E-2</v>
      </c>
      <c r="O28" s="27">
        <v>5.2999999999999999E-2</v>
      </c>
      <c r="P28" s="27">
        <v>5.2999999999999999E-2</v>
      </c>
      <c r="Q28" s="27">
        <v>5.2999999999999999E-2</v>
      </c>
      <c r="R28" s="27">
        <v>5.2999999999999999E-2</v>
      </c>
      <c r="S28" s="57">
        <v>5.4000000000000001E-4</v>
      </c>
    </row>
    <row r="29" spans="1:19" x14ac:dyDescent="0.25">
      <c r="A29" s="30"/>
      <c r="B29" s="26"/>
      <c r="C29" s="26"/>
      <c r="D29" s="26"/>
      <c r="E29" s="26"/>
      <c r="F29" s="26"/>
      <c r="G29" s="26"/>
      <c r="H29" s="26"/>
      <c r="I29" s="26"/>
      <c r="J29" s="26"/>
      <c r="K29" s="27"/>
      <c r="L29" s="27"/>
      <c r="M29" s="27"/>
      <c r="N29" s="27"/>
      <c r="O29" s="27"/>
      <c r="P29" s="27"/>
      <c r="Q29" s="27"/>
      <c r="R29" s="27"/>
      <c r="S29" s="57"/>
    </row>
    <row r="30" spans="1:19" x14ac:dyDescent="0.25">
      <c r="A30" s="30" t="s">
        <v>149</v>
      </c>
      <c r="B30" s="26"/>
      <c r="C30" s="26"/>
      <c r="D30" s="26"/>
      <c r="E30" s="26" t="s">
        <v>150</v>
      </c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57"/>
    </row>
    <row r="31" spans="1:19" x14ac:dyDescent="0.25">
      <c r="A31" s="30" t="s">
        <v>151</v>
      </c>
      <c r="B31" s="26"/>
      <c r="C31" s="26"/>
      <c r="D31" s="26"/>
      <c r="E31" s="26" t="s">
        <v>117</v>
      </c>
      <c r="F31" s="26"/>
      <c r="G31" s="26"/>
      <c r="H31" s="26"/>
      <c r="I31" s="26"/>
      <c r="J31" s="26"/>
      <c r="K31" s="27"/>
      <c r="L31" s="27"/>
      <c r="M31" s="27"/>
      <c r="N31" s="27"/>
      <c r="O31" s="27"/>
      <c r="P31" s="27"/>
      <c r="Q31" s="27"/>
      <c r="R31" s="27"/>
      <c r="S31" s="57"/>
    </row>
    <row r="32" spans="1:19" x14ac:dyDescent="0.25">
      <c r="A32" s="30"/>
      <c r="B32" s="26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7"/>
      <c r="N32" s="27"/>
      <c r="O32" s="27"/>
      <c r="P32" s="27"/>
      <c r="Q32" s="27"/>
      <c r="R32" s="27"/>
      <c r="S32" s="57"/>
    </row>
    <row r="33" spans="1:19" x14ac:dyDescent="0.25">
      <c r="A33" s="30" t="s">
        <v>152</v>
      </c>
      <c r="B33" s="26"/>
      <c r="C33" s="26"/>
      <c r="D33" s="26"/>
      <c r="E33" s="26" t="s">
        <v>153</v>
      </c>
      <c r="F33" s="26"/>
      <c r="G33" s="26"/>
      <c r="H33" s="26"/>
      <c r="I33" s="26"/>
      <c r="J33" s="26"/>
      <c r="K33" s="27"/>
      <c r="L33" s="27"/>
      <c r="M33" s="27"/>
      <c r="N33" s="27"/>
      <c r="O33" s="27"/>
      <c r="P33" s="27"/>
      <c r="Q33" s="27"/>
      <c r="R33" s="27"/>
      <c r="S33" s="57"/>
    </row>
    <row r="34" spans="1:19" x14ac:dyDescent="0.25">
      <c r="A34" s="30" t="s">
        <v>154</v>
      </c>
      <c r="B34" s="26"/>
      <c r="C34" s="26"/>
      <c r="D34" s="26"/>
      <c r="E34" s="26" t="s">
        <v>117</v>
      </c>
      <c r="F34" s="26"/>
      <c r="G34" s="26"/>
      <c r="H34" s="26"/>
      <c r="I34" s="26"/>
      <c r="J34" s="26"/>
      <c r="K34" s="27"/>
      <c r="L34" s="27"/>
      <c r="M34" s="27"/>
      <c r="N34" s="27"/>
      <c r="O34" s="27"/>
      <c r="P34" s="27"/>
      <c r="Q34" s="27"/>
      <c r="R34" s="27"/>
      <c r="S34" s="57"/>
    </row>
    <row r="35" spans="1:19" x14ac:dyDescent="0.25">
      <c r="A35" s="30"/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27"/>
      <c r="N35" s="27"/>
      <c r="O35" s="27"/>
      <c r="P35" s="27"/>
      <c r="Q35" s="27"/>
      <c r="R35" s="27"/>
      <c r="S35" s="57"/>
    </row>
    <row r="36" spans="1:19" x14ac:dyDescent="0.25">
      <c r="A36" s="30" t="s">
        <v>155</v>
      </c>
      <c r="B36" s="26"/>
      <c r="C36" s="26"/>
      <c r="D36" s="26"/>
      <c r="E36" s="26"/>
      <c r="F36" s="26"/>
      <c r="G36" s="26"/>
      <c r="H36" s="26"/>
      <c r="I36" s="26"/>
      <c r="J36" s="26"/>
      <c r="K36" s="27"/>
      <c r="L36" s="27" t="s">
        <v>129</v>
      </c>
      <c r="M36" s="27" t="s">
        <v>129</v>
      </c>
      <c r="N36" s="27" t="s">
        <v>129</v>
      </c>
      <c r="O36" s="27" t="s">
        <v>129</v>
      </c>
      <c r="P36" s="27" t="s">
        <v>129</v>
      </c>
      <c r="Q36" s="27" t="s">
        <v>129</v>
      </c>
      <c r="R36" s="27" t="s">
        <v>129</v>
      </c>
      <c r="S36" s="57">
        <v>100</v>
      </c>
    </row>
    <row r="37" spans="1:19" x14ac:dyDescent="0.25">
      <c r="A37" s="30"/>
      <c r="B37" s="26"/>
      <c r="C37" s="26"/>
      <c r="D37" s="26"/>
      <c r="E37" s="26"/>
      <c r="F37" s="26"/>
      <c r="G37" s="26"/>
      <c r="H37" s="26"/>
      <c r="I37" s="26"/>
      <c r="J37" s="26"/>
      <c r="K37" s="27"/>
      <c r="L37" s="27"/>
      <c r="M37" s="27"/>
      <c r="N37" s="27"/>
      <c r="O37" s="27"/>
      <c r="P37" s="27"/>
      <c r="Q37" s="27"/>
      <c r="R37" s="27"/>
      <c r="S37" s="57"/>
    </row>
    <row r="38" spans="1:19" x14ac:dyDescent="0.25">
      <c r="A38" s="25" t="s">
        <v>156</v>
      </c>
      <c r="B38" s="26"/>
      <c r="C38" s="26"/>
      <c r="D38" s="26"/>
      <c r="E38" s="26"/>
      <c r="F38" s="26"/>
      <c r="G38" s="26"/>
      <c r="H38" s="26"/>
      <c r="I38" s="26"/>
      <c r="J38" s="26"/>
      <c r="K38" s="27"/>
      <c r="L38" s="27"/>
      <c r="M38" s="27"/>
      <c r="N38" s="27"/>
      <c r="O38" s="27"/>
      <c r="P38" s="27"/>
      <c r="Q38" s="27"/>
      <c r="R38" s="27"/>
      <c r="S38" s="57"/>
    </row>
    <row r="39" spans="1:19" x14ac:dyDescent="0.25">
      <c r="A39" s="30" t="s">
        <v>158</v>
      </c>
      <c r="B39" s="26"/>
      <c r="C39" s="26"/>
      <c r="D39" s="26"/>
      <c r="E39" s="26"/>
      <c r="F39" s="26"/>
      <c r="G39" s="26"/>
      <c r="H39" s="26"/>
      <c r="I39" s="26"/>
      <c r="J39" s="26"/>
      <c r="K39" s="27"/>
      <c r="L39" s="44" t="s">
        <v>223</v>
      </c>
      <c r="M39" s="44" t="s">
        <v>224</v>
      </c>
      <c r="N39" s="44" t="s">
        <v>223</v>
      </c>
      <c r="O39" s="44" t="s">
        <v>223</v>
      </c>
      <c r="P39" s="44" t="s">
        <v>223</v>
      </c>
      <c r="Q39" s="44" t="s">
        <v>223</v>
      </c>
      <c r="R39" s="44" t="s">
        <v>223</v>
      </c>
      <c r="S39" s="57" t="s">
        <v>159</v>
      </c>
    </row>
    <row r="40" spans="1:19" x14ac:dyDescent="0.25">
      <c r="A40" s="30" t="s">
        <v>163</v>
      </c>
      <c r="B40" s="26"/>
      <c r="C40" s="26"/>
      <c r="D40" s="26"/>
      <c r="E40" s="26"/>
      <c r="F40" s="26"/>
      <c r="G40" s="26"/>
      <c r="H40" s="26"/>
      <c r="I40" s="26"/>
      <c r="J40" s="26"/>
      <c r="K40" s="27" t="s">
        <v>40</v>
      </c>
      <c r="L40" s="44">
        <v>95</v>
      </c>
      <c r="M40" s="44">
        <v>70</v>
      </c>
      <c r="N40" s="44">
        <v>95</v>
      </c>
      <c r="O40" s="44">
        <v>95</v>
      </c>
      <c r="P40" s="44">
        <v>95</v>
      </c>
      <c r="Q40" s="44">
        <v>95</v>
      </c>
      <c r="R40" s="44">
        <v>95</v>
      </c>
      <c r="S40" s="57">
        <v>60</v>
      </c>
    </row>
    <row r="41" spans="1:19" x14ac:dyDescent="0.25">
      <c r="A41" s="30"/>
      <c r="B41" s="26"/>
      <c r="C41" s="26"/>
      <c r="D41" s="26"/>
      <c r="E41" s="26"/>
      <c r="F41" s="26"/>
      <c r="G41" s="26"/>
      <c r="H41" s="26"/>
      <c r="I41" s="26"/>
      <c r="J41" s="26"/>
      <c r="K41" s="27"/>
      <c r="L41" s="27"/>
      <c r="M41" s="27"/>
      <c r="N41" s="27"/>
      <c r="O41" s="27"/>
      <c r="P41" s="27"/>
      <c r="Q41" s="27"/>
      <c r="R41" s="27"/>
      <c r="S41" s="57"/>
    </row>
    <row r="42" spans="1:19" x14ac:dyDescent="0.25">
      <c r="A42" s="25" t="s">
        <v>164</v>
      </c>
      <c r="B42" s="26"/>
      <c r="C42" s="26"/>
      <c r="D42" s="26"/>
      <c r="E42" s="26"/>
      <c r="F42" s="26"/>
      <c r="G42" s="26"/>
      <c r="H42" s="26"/>
      <c r="I42" s="26"/>
      <c r="J42" s="26"/>
      <c r="K42" s="27"/>
      <c r="L42" s="27"/>
      <c r="M42" s="27"/>
      <c r="N42" s="27"/>
      <c r="O42" s="27"/>
      <c r="P42" s="27"/>
      <c r="Q42" s="27"/>
      <c r="R42" s="27"/>
      <c r="S42" s="57"/>
    </row>
    <row r="43" spans="1:19" x14ac:dyDescent="0.25">
      <c r="A43" s="30"/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27"/>
      <c r="M43" s="27"/>
      <c r="N43" s="27"/>
      <c r="O43" s="27"/>
      <c r="P43" s="27"/>
      <c r="Q43" s="27"/>
      <c r="R43" s="27"/>
      <c r="S43" s="57"/>
    </row>
    <row r="44" spans="1:19" ht="17.25" x14ac:dyDescent="0.25">
      <c r="A44" s="40" t="s">
        <v>165</v>
      </c>
      <c r="B44" s="26"/>
      <c r="C44" s="26"/>
      <c r="D44" s="26"/>
      <c r="E44" s="26"/>
      <c r="F44" s="26"/>
      <c r="G44" s="26"/>
      <c r="H44" s="26"/>
      <c r="I44" s="26"/>
      <c r="J44" s="26"/>
      <c r="K44" s="27"/>
      <c r="L44" s="27"/>
      <c r="M44" s="27"/>
      <c r="N44" s="27"/>
      <c r="O44" s="27"/>
      <c r="P44" s="27"/>
      <c r="Q44" s="27"/>
      <c r="R44" s="27"/>
      <c r="S44" s="57"/>
    </row>
    <row r="45" spans="1:19" ht="17.25" x14ac:dyDescent="0.25">
      <c r="A45" s="30" t="s">
        <v>166</v>
      </c>
      <c r="B45" s="26"/>
      <c r="C45" s="26"/>
      <c r="D45" s="26"/>
      <c r="E45" s="26" t="s">
        <v>167</v>
      </c>
      <c r="F45" s="26"/>
      <c r="G45" s="26"/>
      <c r="H45" s="26"/>
      <c r="I45" s="26"/>
      <c r="J45" s="26"/>
      <c r="K45" s="27" t="s">
        <v>168</v>
      </c>
      <c r="L45" s="27"/>
      <c r="M45" s="27"/>
      <c r="N45" s="27"/>
      <c r="O45" s="27"/>
      <c r="P45" s="27"/>
      <c r="Q45" s="27"/>
      <c r="R45" s="27"/>
      <c r="S45" s="57"/>
    </row>
    <row r="46" spans="1:19" x14ac:dyDescent="0.25">
      <c r="A46" s="30"/>
      <c r="B46" s="26"/>
      <c r="C46" s="26"/>
      <c r="D46" s="26"/>
      <c r="E46" s="26" t="s">
        <v>169</v>
      </c>
      <c r="F46" s="26"/>
      <c r="G46" s="26"/>
      <c r="H46" s="26"/>
      <c r="I46" s="26"/>
      <c r="J46" s="26"/>
      <c r="K46" s="27"/>
      <c r="L46" s="27"/>
      <c r="M46" s="27"/>
      <c r="N46" s="27"/>
      <c r="O46" s="27"/>
      <c r="P46" s="27"/>
      <c r="Q46" s="27"/>
      <c r="R46" s="27"/>
      <c r="S46" s="57"/>
    </row>
    <row r="47" spans="1:19" x14ac:dyDescent="0.25">
      <c r="A47" s="30"/>
      <c r="B47" s="26"/>
      <c r="C47" s="26"/>
      <c r="D47" s="26"/>
      <c r="E47" s="26" t="s">
        <v>170</v>
      </c>
      <c r="F47" s="26"/>
      <c r="G47" s="26"/>
      <c r="H47" s="26"/>
      <c r="I47" s="26"/>
      <c r="J47" s="26"/>
      <c r="K47" s="27"/>
      <c r="L47" s="27"/>
      <c r="M47" s="27"/>
      <c r="N47" s="27"/>
      <c r="O47" s="27"/>
      <c r="P47" s="27"/>
      <c r="Q47" s="27"/>
      <c r="R47" s="27"/>
      <c r="S47" s="57"/>
    </row>
    <row r="48" spans="1:19" x14ac:dyDescent="0.25">
      <c r="A48" s="30"/>
      <c r="B48" s="26"/>
      <c r="C48" s="26"/>
      <c r="D48" s="26"/>
      <c r="E48" s="26"/>
      <c r="F48" s="26"/>
      <c r="G48" s="26"/>
      <c r="H48" s="26"/>
      <c r="I48" s="26"/>
      <c r="J48" s="26"/>
      <c r="K48" s="27"/>
      <c r="L48" s="27"/>
      <c r="M48" s="27"/>
      <c r="N48" s="27"/>
      <c r="O48" s="27"/>
      <c r="P48" s="27"/>
      <c r="Q48" s="27"/>
      <c r="R48" s="27"/>
      <c r="S48" s="57"/>
    </row>
    <row r="49" spans="1:19" x14ac:dyDescent="0.25">
      <c r="A49" s="30" t="s">
        <v>171</v>
      </c>
      <c r="B49" s="26"/>
      <c r="C49" s="26"/>
      <c r="D49" s="26"/>
      <c r="E49" s="26" t="s">
        <v>172</v>
      </c>
      <c r="F49" s="26"/>
      <c r="G49" s="26"/>
      <c r="H49" s="26"/>
      <c r="I49" s="26"/>
      <c r="J49" s="26"/>
      <c r="K49" s="27"/>
      <c r="L49" s="27"/>
      <c r="M49" s="27"/>
      <c r="N49" s="27"/>
      <c r="O49" s="27"/>
      <c r="P49" s="27"/>
      <c r="Q49" s="27"/>
      <c r="R49" s="27"/>
      <c r="S49" s="57"/>
    </row>
    <row r="50" spans="1:19" x14ac:dyDescent="0.25">
      <c r="A50" s="30"/>
      <c r="B50" s="26"/>
      <c r="C50" s="26"/>
      <c r="D50" s="26"/>
      <c r="E50" s="26"/>
      <c r="F50" s="26"/>
      <c r="G50" s="26"/>
      <c r="H50" s="26"/>
      <c r="I50" s="26"/>
      <c r="J50" s="26"/>
      <c r="K50" s="27"/>
      <c r="L50" s="27"/>
      <c r="M50" s="27"/>
      <c r="N50" s="27"/>
      <c r="O50" s="27"/>
      <c r="P50" s="27"/>
      <c r="Q50" s="27"/>
      <c r="R50" s="27"/>
      <c r="S50" s="57"/>
    </row>
    <row r="51" spans="1:19" ht="17.25" x14ac:dyDescent="0.25">
      <c r="A51" s="40" t="s">
        <v>184</v>
      </c>
      <c r="B51" s="26"/>
      <c r="C51" s="26"/>
      <c r="D51" s="26"/>
      <c r="E51" s="26"/>
      <c r="F51" s="26"/>
      <c r="G51" s="26"/>
      <c r="H51" s="26"/>
      <c r="I51" s="26"/>
      <c r="J51" s="26"/>
      <c r="K51" s="27"/>
      <c r="L51" s="27"/>
      <c r="M51" s="27"/>
      <c r="N51" s="27"/>
      <c r="O51" s="27"/>
      <c r="P51" s="27"/>
      <c r="Q51" s="27"/>
      <c r="R51" s="27"/>
      <c r="S51" s="57"/>
    </row>
    <row r="52" spans="1:19" ht="17.25" x14ac:dyDescent="0.25">
      <c r="A52" s="30" t="s">
        <v>166</v>
      </c>
      <c r="B52" s="26"/>
      <c r="C52" s="26"/>
      <c r="D52" s="26"/>
      <c r="E52" s="26" t="s">
        <v>185</v>
      </c>
      <c r="F52" s="26"/>
      <c r="G52" s="26"/>
      <c r="H52" s="26"/>
      <c r="I52" s="26"/>
      <c r="J52" s="26"/>
      <c r="K52" s="27" t="s">
        <v>175</v>
      </c>
      <c r="L52" s="27"/>
      <c r="M52" s="27"/>
      <c r="N52" s="27"/>
      <c r="O52" s="27"/>
      <c r="P52" s="27"/>
      <c r="Q52" s="27"/>
      <c r="R52" s="27"/>
      <c r="S52" s="57"/>
    </row>
    <row r="53" spans="1:19" x14ac:dyDescent="0.25">
      <c r="A53" s="30"/>
      <c r="B53" s="26"/>
      <c r="C53" s="26"/>
      <c r="D53" s="26"/>
      <c r="E53" s="26" t="s">
        <v>186</v>
      </c>
      <c r="F53" s="26"/>
      <c r="G53" s="26"/>
      <c r="H53" s="26"/>
      <c r="I53" s="26"/>
      <c r="J53" s="26"/>
      <c r="K53" s="27"/>
      <c r="L53" s="27"/>
      <c r="M53" s="27"/>
      <c r="N53" s="27"/>
      <c r="O53" s="27"/>
      <c r="P53" s="27"/>
      <c r="Q53" s="27"/>
      <c r="R53" s="27"/>
      <c r="S53" s="57"/>
    </row>
    <row r="54" spans="1:19" x14ac:dyDescent="0.25">
      <c r="A54" s="30"/>
      <c r="B54" s="26"/>
      <c r="C54" s="26"/>
      <c r="D54" s="26"/>
      <c r="E54" s="26" t="s">
        <v>187</v>
      </c>
      <c r="F54" s="26"/>
      <c r="G54" s="26"/>
      <c r="H54" s="26"/>
      <c r="I54" s="26"/>
      <c r="J54" s="26"/>
      <c r="K54" s="27"/>
      <c r="L54" s="27"/>
      <c r="M54" s="27"/>
      <c r="N54" s="27"/>
      <c r="O54" s="27"/>
      <c r="P54" s="27"/>
      <c r="Q54" s="27"/>
      <c r="R54" s="27"/>
      <c r="S54" s="57"/>
    </row>
    <row r="55" spans="1:19" x14ac:dyDescent="0.25">
      <c r="A55" s="30"/>
      <c r="B55" s="26"/>
      <c r="C55" s="26"/>
      <c r="D55" s="26"/>
      <c r="E55" s="26" t="s">
        <v>225</v>
      </c>
      <c r="F55" s="26"/>
      <c r="G55" s="26"/>
      <c r="H55" s="26"/>
      <c r="I55" s="26"/>
      <c r="J55" s="26"/>
      <c r="K55" s="27"/>
      <c r="L55" s="27"/>
      <c r="M55" s="27"/>
      <c r="N55" s="27"/>
      <c r="O55" s="27"/>
      <c r="P55" s="27"/>
      <c r="Q55" s="27"/>
      <c r="R55" s="27"/>
      <c r="S55" s="57"/>
    </row>
    <row r="56" spans="1:19" x14ac:dyDescent="0.25">
      <c r="A56" s="30"/>
      <c r="B56" s="26"/>
      <c r="C56" s="26"/>
      <c r="D56" s="26"/>
      <c r="E56" s="26" t="s">
        <v>189</v>
      </c>
      <c r="F56" s="26"/>
      <c r="G56" s="26"/>
      <c r="H56" s="26"/>
      <c r="I56" s="26"/>
      <c r="J56" s="26"/>
      <c r="K56" s="27"/>
      <c r="L56" s="27"/>
      <c r="M56" s="27"/>
      <c r="N56" s="27"/>
      <c r="O56" s="27"/>
      <c r="P56" s="27"/>
      <c r="Q56" s="27"/>
      <c r="R56" s="27"/>
      <c r="S56" s="57"/>
    </row>
    <row r="57" spans="1:19" x14ac:dyDescent="0.25">
      <c r="A57" s="30"/>
      <c r="B57" s="26"/>
      <c r="C57" s="26"/>
      <c r="D57" s="26"/>
      <c r="E57" s="26"/>
      <c r="F57" s="26"/>
      <c r="G57" s="26"/>
      <c r="H57" s="26"/>
      <c r="I57" s="26"/>
      <c r="J57" s="26"/>
      <c r="K57" s="27"/>
      <c r="L57" s="27"/>
      <c r="M57" s="27"/>
      <c r="N57" s="27"/>
      <c r="O57" s="27"/>
      <c r="P57" s="27"/>
      <c r="Q57" s="27"/>
      <c r="R57" s="27"/>
      <c r="S57" s="57"/>
    </row>
    <row r="58" spans="1:19" x14ac:dyDescent="0.25">
      <c r="A58" s="30" t="s">
        <v>171</v>
      </c>
      <c r="B58" s="26"/>
      <c r="C58" s="26"/>
      <c r="D58" s="26"/>
      <c r="E58" s="26" t="s">
        <v>190</v>
      </c>
      <c r="F58" s="26"/>
      <c r="G58" s="26"/>
      <c r="H58" s="26"/>
      <c r="I58" s="26"/>
      <c r="J58" s="26"/>
      <c r="K58" s="27"/>
      <c r="L58" s="27"/>
      <c r="M58" s="27"/>
      <c r="N58" s="27"/>
      <c r="O58" s="27"/>
      <c r="P58" s="27"/>
      <c r="Q58" s="27"/>
      <c r="R58" s="27"/>
      <c r="S58" s="57"/>
    </row>
    <row r="59" spans="1:19" x14ac:dyDescent="0.25">
      <c r="A59" s="30"/>
      <c r="B59" s="26"/>
      <c r="C59" s="26"/>
      <c r="D59" s="26"/>
      <c r="E59" s="26" t="s">
        <v>191</v>
      </c>
      <c r="F59" s="26"/>
      <c r="G59" s="26"/>
      <c r="H59" s="26"/>
      <c r="I59" s="26"/>
      <c r="J59" s="26"/>
      <c r="K59" s="27"/>
      <c r="L59" s="27"/>
      <c r="M59" s="27"/>
      <c r="N59" s="27"/>
      <c r="O59" s="27"/>
      <c r="P59" s="27"/>
      <c r="Q59" s="27"/>
      <c r="R59" s="27"/>
      <c r="S59" s="57"/>
    </row>
    <row r="60" spans="1:19" x14ac:dyDescent="0.25">
      <c r="A60" s="30"/>
      <c r="B60" s="26"/>
      <c r="C60" s="26"/>
      <c r="D60" s="26"/>
      <c r="E60" s="26"/>
      <c r="F60" s="26" t="s">
        <v>192</v>
      </c>
      <c r="G60" s="26"/>
      <c r="H60" s="26"/>
      <c r="I60" s="26"/>
      <c r="J60" s="26"/>
      <c r="K60" s="27"/>
      <c r="L60" s="27"/>
      <c r="M60" s="27"/>
      <c r="N60" s="27"/>
      <c r="O60" s="27"/>
      <c r="P60" s="27"/>
      <c r="Q60" s="27"/>
      <c r="R60" s="27"/>
      <c r="S60" s="57"/>
    </row>
    <row r="61" spans="1:19" x14ac:dyDescent="0.25">
      <c r="A61" s="30"/>
      <c r="B61" s="26"/>
      <c r="C61" s="26"/>
      <c r="D61" s="26"/>
      <c r="E61" s="26"/>
      <c r="F61" s="26" t="s">
        <v>193</v>
      </c>
      <c r="G61" s="26"/>
      <c r="H61" s="26"/>
      <c r="I61" s="26"/>
      <c r="J61" s="26"/>
      <c r="K61" s="27"/>
      <c r="L61" s="27"/>
      <c r="M61" s="27"/>
      <c r="N61" s="27"/>
      <c r="O61" s="27"/>
      <c r="P61" s="27"/>
      <c r="Q61" s="27"/>
      <c r="R61" s="27"/>
      <c r="S61" s="57"/>
    </row>
    <row r="62" spans="1:19" x14ac:dyDescent="0.25">
      <c r="A62" s="30"/>
      <c r="B62" s="26"/>
      <c r="C62" s="26"/>
      <c r="D62" s="26"/>
      <c r="E62" s="26"/>
      <c r="F62" s="26" t="s">
        <v>194</v>
      </c>
      <c r="G62" s="26"/>
      <c r="H62" s="26"/>
      <c r="I62" s="26"/>
      <c r="J62" s="26"/>
      <c r="K62" s="27"/>
      <c r="L62" s="27"/>
      <c r="M62" s="27"/>
      <c r="N62" s="27"/>
      <c r="O62" s="27"/>
      <c r="P62" s="27"/>
      <c r="Q62" s="27"/>
      <c r="R62" s="27"/>
      <c r="S62" s="57"/>
    </row>
    <row r="63" spans="1:19" x14ac:dyDescent="0.25">
      <c r="A63" s="25" t="s">
        <v>201</v>
      </c>
      <c r="B63" s="26"/>
      <c r="C63" s="26"/>
      <c r="D63" s="26"/>
      <c r="E63" s="26"/>
      <c r="F63" s="26"/>
      <c r="G63" s="26"/>
      <c r="H63" s="26"/>
      <c r="I63" s="26"/>
      <c r="J63" s="26"/>
      <c r="K63" s="27"/>
      <c r="L63" s="27"/>
      <c r="M63" s="27"/>
      <c r="N63" s="27"/>
      <c r="O63" s="27"/>
      <c r="P63" s="27"/>
      <c r="Q63" s="27"/>
      <c r="R63" s="27"/>
      <c r="S63" s="57"/>
    </row>
    <row r="64" spans="1:19" x14ac:dyDescent="0.25">
      <c r="A64" s="30" t="s">
        <v>202</v>
      </c>
      <c r="B64" s="26"/>
      <c r="C64" s="26"/>
      <c r="D64" s="26"/>
      <c r="E64" s="26" t="s">
        <v>153</v>
      </c>
      <c r="F64" s="26"/>
      <c r="G64" s="26"/>
      <c r="H64" s="26"/>
      <c r="I64" s="26"/>
      <c r="J64" s="26"/>
      <c r="K64" s="27"/>
      <c r="L64" s="43">
        <f>($L$26*0.0032*($L$23/5)^1.3)/(($L$15)/2)^1.4</f>
        <v>1.7188810637612064E-4</v>
      </c>
      <c r="M64" s="43">
        <f>($M$26*0.0032*($M$23/5)^1.3)/(($M$15)/2)^1.4</f>
        <v>1.7188810637612064E-4</v>
      </c>
      <c r="N64" s="43">
        <f>(N$26*0.0032*($O$23/5)^1.3)/(($O$15)/2)^1.4</f>
        <v>1.7188810637612064E-4</v>
      </c>
      <c r="O64" s="43">
        <f>(O$26*0.0032*($O$23/5)^1.3)/(($O$15)/2)^1.4</f>
        <v>1.7188810637612064E-4</v>
      </c>
      <c r="P64" s="43">
        <f>2*(P$26*0.0032*($P$23/5)^1.3)/(($P$15)/2)^1.4</f>
        <v>3.4377621275224129E-4</v>
      </c>
      <c r="Q64" s="43">
        <f>(Q$26*0.0032*($Q$23/5)^1.3)/(($Q$15)/2)^1.4</f>
        <v>1.7188810637612064E-4</v>
      </c>
      <c r="R64" s="43">
        <f>(R$26*0.0032*($R$23/5)^1.3)/(($R$15)/2)^1.4</f>
        <v>1.7188810637612064E-4</v>
      </c>
      <c r="S64" s="58">
        <f>($S$26*((S36/100)^0.91)*(25^1.02))</f>
        <v>0.29328610910730091</v>
      </c>
    </row>
    <row r="65" spans="1:19" x14ac:dyDescent="0.25">
      <c r="A65" s="30"/>
      <c r="B65" s="26"/>
      <c r="C65" s="26"/>
      <c r="D65" s="26"/>
      <c r="E65" s="26" t="s">
        <v>117</v>
      </c>
      <c r="F65" s="26"/>
      <c r="G65" s="26"/>
      <c r="H65" s="26"/>
      <c r="I65" s="26"/>
      <c r="J65" s="26"/>
      <c r="K65" s="27"/>
      <c r="L65" s="43">
        <f>($L$26*0.0032*($L$24/5)^1.3)/(($L$15)/2)^1.4</f>
        <v>7.0434776751457625E-5</v>
      </c>
      <c r="M65" s="43">
        <f>($M$26*0.0032*($M$24/5)^1.3)/(($M$15)/2)^1.4</f>
        <v>7.0434776751457625E-5</v>
      </c>
      <c r="N65" s="43">
        <f>(N$26*0.0032*($O$24/5)^1.3)/(($O$15)/2)^1.4</f>
        <v>7.0434776751457625E-5</v>
      </c>
      <c r="O65" s="43">
        <f>(O$26*0.0032*($O$24/5)^1.3)/(($O$15)/2)^1.4</f>
        <v>7.0434776751457625E-5</v>
      </c>
      <c r="P65" s="43">
        <f>2*(P$26*0.0032*($P$24/5)^1.3)/(($P$15)/2)^1.4</f>
        <v>1.4086955350291525E-4</v>
      </c>
      <c r="Q65" s="43">
        <f>(Q$26*0.0032*($Q$24/5)^1.3)/(($Q$15)/2)^1.4</f>
        <v>7.0434776751457625E-5</v>
      </c>
      <c r="R65" s="43">
        <f>(R$26*0.0032*($R$24/5)^1.3)/(($R$15)/2)^1.4</f>
        <v>7.0434776751457625E-5</v>
      </c>
      <c r="S65" s="58">
        <f>($S$26*((S36/100)^0.91)*(25^1.02))</f>
        <v>0.29328610910730091</v>
      </c>
    </row>
    <row r="66" spans="1:19" x14ac:dyDescent="0.25">
      <c r="A66" s="30" t="s">
        <v>203</v>
      </c>
      <c r="B66" s="26"/>
      <c r="C66" s="26"/>
      <c r="D66" s="26"/>
      <c r="E66" s="26" t="s">
        <v>153</v>
      </c>
      <c r="F66" s="26"/>
      <c r="G66" s="26"/>
      <c r="H66" s="26"/>
      <c r="I66" s="26"/>
      <c r="J66" s="26"/>
      <c r="K66" s="27"/>
      <c r="L66" s="43">
        <f>L64*(1-$L$40/100)</f>
        <v>8.5944053188060394E-6</v>
      </c>
      <c r="M66" s="43">
        <f>M64*(1-$M$40/100)</f>
        <v>5.1566431912836199E-5</v>
      </c>
      <c r="N66" s="43">
        <f>N64*(1-N$40/100)</f>
        <v>8.5944053188060394E-6</v>
      </c>
      <c r="O66" s="43">
        <f>O64*(1-O$40/100)</f>
        <v>8.5944053188060394E-6</v>
      </c>
      <c r="P66" s="43">
        <f t="shared" ref="P66:R67" si="0">P64*(1-P$40/100)</f>
        <v>1.7188810637612079E-5</v>
      </c>
      <c r="Q66" s="43">
        <f t="shared" si="0"/>
        <v>8.5944053188060394E-6</v>
      </c>
      <c r="R66" s="43">
        <f t="shared" si="0"/>
        <v>8.5944053188060394E-6</v>
      </c>
      <c r="S66" s="58">
        <f>S64*(1-$S$40/100)</f>
        <v>0.11731444364292037</v>
      </c>
    </row>
    <row r="67" spans="1:19" x14ac:dyDescent="0.25">
      <c r="A67" s="30"/>
      <c r="B67" s="26"/>
      <c r="C67" s="26"/>
      <c r="D67" s="26"/>
      <c r="E67" s="26" t="s">
        <v>117</v>
      </c>
      <c r="F67" s="26"/>
      <c r="G67" s="26"/>
      <c r="H67" s="26"/>
      <c r="I67" s="26"/>
      <c r="J67" s="26"/>
      <c r="K67" s="27"/>
      <c r="L67" s="43">
        <f>L65*(1-$L$40/100)</f>
        <v>3.5217388375728842E-6</v>
      </c>
      <c r="M67" s="43">
        <f>M65*(1-$M$40/100)</f>
        <v>2.1130433025437291E-5</v>
      </c>
      <c r="N67" s="43">
        <f>N65*(1-N$40/100)</f>
        <v>3.5217388375728842E-6</v>
      </c>
      <c r="O67" s="43">
        <f>O65*(1-O$40/100)</f>
        <v>3.5217388375728842E-6</v>
      </c>
      <c r="P67" s="43">
        <f t="shared" si="0"/>
        <v>7.0434776751457684E-6</v>
      </c>
      <c r="Q67" s="43">
        <f t="shared" si="0"/>
        <v>3.5217388375728842E-6</v>
      </c>
      <c r="R67" s="43">
        <f t="shared" si="0"/>
        <v>3.5217388375728842E-6</v>
      </c>
      <c r="S67" s="58">
        <f>S65*(1-$S$40/100)</f>
        <v>0.11731444364292037</v>
      </c>
    </row>
    <row r="68" spans="1:19" x14ac:dyDescent="0.25">
      <c r="A68" s="30"/>
      <c r="B68" s="26"/>
      <c r="C68" s="26"/>
      <c r="D68" s="26"/>
      <c r="E68" s="26"/>
      <c r="F68" s="26"/>
      <c r="G68" s="26"/>
      <c r="H68" s="26"/>
      <c r="I68" s="26"/>
      <c r="J68" s="26"/>
      <c r="K68" s="27"/>
      <c r="L68" s="27"/>
      <c r="M68" s="43"/>
      <c r="N68" s="27"/>
      <c r="O68" s="27"/>
      <c r="P68" s="27"/>
      <c r="Q68" s="27"/>
      <c r="R68" s="27"/>
      <c r="S68" s="35"/>
    </row>
    <row r="69" spans="1:19" ht="18" x14ac:dyDescent="0.35">
      <c r="A69" s="25" t="s">
        <v>204</v>
      </c>
      <c r="B69" s="26"/>
      <c r="C69" s="26"/>
      <c r="D69" s="26"/>
      <c r="E69" s="26"/>
      <c r="F69" s="26"/>
      <c r="G69" s="26"/>
      <c r="H69" s="26"/>
      <c r="I69" s="26"/>
      <c r="J69" s="26"/>
      <c r="K69" s="27"/>
      <c r="L69" s="27"/>
      <c r="M69" s="43"/>
      <c r="N69" s="27"/>
      <c r="O69" s="27"/>
      <c r="P69" s="27"/>
      <c r="Q69" s="27"/>
      <c r="R69" s="27"/>
      <c r="S69" s="35"/>
    </row>
    <row r="70" spans="1:19" x14ac:dyDescent="0.25">
      <c r="A70" s="30" t="s">
        <v>205</v>
      </c>
      <c r="B70" s="26"/>
      <c r="C70" s="26"/>
      <c r="D70" s="26"/>
      <c r="E70" s="26" t="s">
        <v>153</v>
      </c>
      <c r="F70" s="26"/>
      <c r="G70" s="26"/>
      <c r="H70" s="26"/>
      <c r="I70" s="26"/>
      <c r="J70" s="26"/>
      <c r="K70" s="27"/>
      <c r="L70" s="43">
        <f>($L$27*0.0032*($L$23/5)^1.3)/(($L$15)/2)^1.4</f>
        <v>8.1298428691408401E-5</v>
      </c>
      <c r="M70" s="43">
        <f>($M$27*0.0032*($M$23/5)^1.3)/(($M$15)/2)^1.4</f>
        <v>8.1298428691408401E-5</v>
      </c>
      <c r="N70" s="43">
        <f>(N$27*0.0032*($O$23/5)^1.3)/(($O$15)/2)^1.4</f>
        <v>8.1298428691408401E-5</v>
      </c>
      <c r="O70" s="43">
        <f>(O$27*0.0032*($O$23/5)^1.3)/(($O$15)/2)^1.4</f>
        <v>8.1298428691408401E-5</v>
      </c>
      <c r="P70" s="43">
        <f>2*(P$27*0.0032*($P$23/5)^1.3)/(($P$15)/2)^1.4</f>
        <v>1.625968573828168E-4</v>
      </c>
      <c r="Q70" s="43">
        <f>(Q$27*0.0032*($Q$23/5)^1.3)/(($Q$15)/2)^1.4</f>
        <v>8.1298428691408401E-5</v>
      </c>
      <c r="R70" s="43">
        <f>(R$27*0.0032*($R$23/5)^1.3)/(($R$15)/2)^1.4</f>
        <v>8.1298428691408401E-5</v>
      </c>
      <c r="S70" s="58">
        <f>($S$27*((S36/100)^0.91)*(25^1.02))</f>
        <v>5.8657221821460187E-2</v>
      </c>
    </row>
    <row r="71" spans="1:19" x14ac:dyDescent="0.25">
      <c r="A71" s="30"/>
      <c r="B71" s="26"/>
      <c r="C71" s="26"/>
      <c r="D71" s="26"/>
      <c r="E71" s="26" t="s">
        <v>117</v>
      </c>
      <c r="F71" s="26"/>
      <c r="G71" s="26"/>
      <c r="H71" s="26"/>
      <c r="I71" s="26"/>
      <c r="J71" s="26"/>
      <c r="K71" s="27"/>
      <c r="L71" s="43">
        <f>($L$27*0.0032*($L$24/5)^1.3)/(($L$15)/2)^1.4</f>
        <v>3.3313745760824545E-5</v>
      </c>
      <c r="M71" s="43">
        <f>($M$27*0.0032*($M$24/5)^1.3)/(($M$15)/2)^1.4</f>
        <v>3.3313745760824545E-5</v>
      </c>
      <c r="N71" s="43">
        <f>(N$27*0.0032*($O$24/5)^1.3)/(($O$15)/2)^1.4</f>
        <v>3.3313745760824545E-5</v>
      </c>
      <c r="O71" s="43">
        <f>(O$27*0.0032*($O$24/5)^1.3)/(($O$15)/2)^1.4</f>
        <v>3.3313745760824545E-5</v>
      </c>
      <c r="P71" s="43">
        <f>2*(P$27*0.0032*($O$24/5)^1.3)/(($O$15)/2)^1.4</f>
        <v>6.662749152164909E-5</v>
      </c>
      <c r="Q71" s="43">
        <f>(Q$27*0.0032*($Q$24/5)^1.3)/(($Q$15)/2)^1.4</f>
        <v>3.3313745760824545E-5</v>
      </c>
      <c r="R71" s="43">
        <f>(R$27*0.0032*($R$24/5)^1.3)/(($R$15)/2)^1.4</f>
        <v>3.3313745760824545E-5</v>
      </c>
      <c r="S71" s="58">
        <f>($S$27*((S36/100)^0.91)*(25^1.02))</f>
        <v>5.8657221821460187E-2</v>
      </c>
    </row>
    <row r="72" spans="1:19" x14ac:dyDescent="0.25">
      <c r="A72" s="30" t="s">
        <v>206</v>
      </c>
      <c r="B72" s="26"/>
      <c r="C72" s="26"/>
      <c r="D72" s="26"/>
      <c r="E72" s="26" t="s">
        <v>153</v>
      </c>
      <c r="F72" s="26"/>
      <c r="G72" s="26"/>
      <c r="H72" s="26"/>
      <c r="I72" s="26"/>
      <c r="J72" s="26"/>
      <c r="K72" s="27"/>
      <c r="L72" s="43">
        <f>L70*(1-$L$40/100)</f>
        <v>4.0649214345704236E-6</v>
      </c>
      <c r="M72" s="43">
        <f>M70*(1-$M$40/100)</f>
        <v>2.4389528607422523E-5</v>
      </c>
      <c r="N72" s="43">
        <f>N70*(1-N$40/100)</f>
        <v>4.0649214345704236E-6</v>
      </c>
      <c r="O72" s="43">
        <f>O70*(1-O$40/100)</f>
        <v>4.0649214345704236E-6</v>
      </c>
      <c r="P72" s="43">
        <f t="shared" ref="P72:R73" si="1">P70*(1-P$40/100)</f>
        <v>8.1298428691408472E-6</v>
      </c>
      <c r="Q72" s="43">
        <f t="shared" si="1"/>
        <v>4.0649214345704236E-6</v>
      </c>
      <c r="R72" s="43">
        <f t="shared" si="1"/>
        <v>4.0649214345704236E-6</v>
      </c>
      <c r="S72" s="58">
        <f>S70*(1-$S$40/100)</f>
        <v>2.3462888728584076E-2</v>
      </c>
    </row>
    <row r="73" spans="1:19" x14ac:dyDescent="0.25">
      <c r="A73" s="30"/>
      <c r="B73" s="26"/>
      <c r="C73" s="26"/>
      <c r="D73" s="26"/>
      <c r="E73" s="26" t="s">
        <v>117</v>
      </c>
      <c r="F73" s="26"/>
      <c r="G73" s="26"/>
      <c r="H73" s="26"/>
      <c r="I73" s="26"/>
      <c r="J73" s="26"/>
      <c r="K73" s="27"/>
      <c r="L73" s="43">
        <f>L71*(1-$L$40/100)</f>
        <v>1.6656872880412287E-6</v>
      </c>
      <c r="M73" s="43">
        <f>M71*(1-$M$40/100)</f>
        <v>9.9941237282473652E-6</v>
      </c>
      <c r="N73" s="43">
        <f>N71*(1-N$40/100)</f>
        <v>1.6656872880412287E-6</v>
      </c>
      <c r="O73" s="43">
        <f>O71*(1-O$40/100)</f>
        <v>1.6656872880412287E-6</v>
      </c>
      <c r="P73" s="43">
        <f t="shared" si="1"/>
        <v>3.3313745760824575E-6</v>
      </c>
      <c r="Q73" s="43">
        <f t="shared" si="1"/>
        <v>1.6656872880412287E-6</v>
      </c>
      <c r="R73" s="43">
        <f t="shared" si="1"/>
        <v>1.6656872880412287E-6</v>
      </c>
      <c r="S73" s="58">
        <f>S71*(1-$S$40/100)</f>
        <v>2.3462888728584076E-2</v>
      </c>
    </row>
    <row r="74" spans="1:19" x14ac:dyDescent="0.25">
      <c r="A74" s="30"/>
      <c r="B74" s="26"/>
      <c r="C74" s="26"/>
      <c r="D74" s="26"/>
      <c r="E74" s="26"/>
      <c r="F74" s="26"/>
      <c r="G74" s="26"/>
      <c r="H74" s="26"/>
      <c r="I74" s="26"/>
      <c r="J74" s="26"/>
      <c r="K74" s="27"/>
      <c r="L74" s="27"/>
      <c r="M74" s="43"/>
      <c r="N74" s="27"/>
      <c r="O74" s="27"/>
      <c r="P74" s="27"/>
      <c r="Q74" s="27"/>
      <c r="R74" s="27"/>
      <c r="S74" s="35"/>
    </row>
    <row r="75" spans="1:19" ht="18" x14ac:dyDescent="0.35">
      <c r="A75" s="25" t="s">
        <v>207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27"/>
      <c r="M75" s="43"/>
      <c r="N75" s="27"/>
      <c r="O75" s="27"/>
      <c r="P75" s="27"/>
      <c r="Q75" s="27"/>
      <c r="R75" s="27"/>
      <c r="S75" s="35"/>
    </row>
    <row r="76" spans="1:19" x14ac:dyDescent="0.25">
      <c r="A76" s="30" t="s">
        <v>205</v>
      </c>
      <c r="B76" s="26"/>
      <c r="C76" s="26"/>
      <c r="D76" s="26"/>
      <c r="E76" s="26" t="s">
        <v>153</v>
      </c>
      <c r="F76" s="26"/>
      <c r="G76" s="26"/>
      <c r="H76" s="26"/>
      <c r="I76" s="26"/>
      <c r="J76" s="26"/>
      <c r="K76" s="27"/>
      <c r="L76" s="43">
        <f>($L$28*0.0032*($L$23/5)^1.3)/(($L$15)/2)^1.4</f>
        <v>1.231090491612756E-5</v>
      </c>
      <c r="M76" s="43">
        <f>($M$28*0.0032*($M$23/5)^1.3)/(($M$15)/2)^1.4</f>
        <v>1.231090491612756E-5</v>
      </c>
      <c r="N76" s="43">
        <f>(N$28*0.0032*($O$23/5)^1.3)/(($O$15)/2)^1.4</f>
        <v>1.231090491612756E-5</v>
      </c>
      <c r="O76" s="43">
        <f>(O$28*0.0032*($O$23/5)^1.3)/(($O$15)/2)^1.4</f>
        <v>1.231090491612756E-5</v>
      </c>
      <c r="P76" s="43">
        <f>2*(P$28*0.0032*($P$23/5)^1.3)/(($P$15)/2)^1.4</f>
        <v>2.4621809832255119E-5</v>
      </c>
      <c r="Q76" s="43">
        <f>(Q$28*0.0032*($Q$23/5)^1.3)/(($Q$15)/2)^1.4</f>
        <v>1.231090491612756E-5</v>
      </c>
      <c r="R76" s="43">
        <f>(R$28*0.0032*($R$23/5)^1.3)/(($R$15)/2)^1.4</f>
        <v>1.231090491612756E-5</v>
      </c>
      <c r="S76" s="58">
        <f>($S$28*((S36/100)^0.91)*(25^1.02))</f>
        <v>1.4397681719812955E-2</v>
      </c>
    </row>
    <row r="77" spans="1:19" x14ac:dyDescent="0.25">
      <c r="A77" s="30"/>
      <c r="B77" s="26"/>
      <c r="C77" s="26"/>
      <c r="D77" s="26"/>
      <c r="E77" s="26" t="s">
        <v>117</v>
      </c>
      <c r="F77" s="26"/>
      <c r="G77" s="26"/>
      <c r="H77" s="26"/>
      <c r="I77" s="26"/>
      <c r="J77" s="26"/>
      <c r="K77" s="27"/>
      <c r="L77" s="43">
        <f>($L$28*0.0032*($L$24/5)^1.3)/(($L$15/2)^1.4)</f>
        <v>5.0446529294962893E-6</v>
      </c>
      <c r="M77" s="43">
        <f>($M$28*0.0032*($M$24/5)^1.3)/(($M$15/2)^1.4)</f>
        <v>5.0446529294962893E-6</v>
      </c>
      <c r="N77" s="43">
        <f>(N$28*0.0032*($O$24/5)^1.3)/(($O$15/2)^1.4)</f>
        <v>5.0446529294962893E-6</v>
      </c>
      <c r="O77" s="43">
        <f>(O$28*0.0032*($O$24/5)^1.3)/(($O$15/2)^1.4)</f>
        <v>5.0446529294962893E-6</v>
      </c>
      <c r="P77" s="43">
        <f>2*(P$28*0.0032*($P$24/5)^1.3)/(($P$15/2)^1.4)</f>
        <v>1.0089305858992579E-5</v>
      </c>
      <c r="Q77" s="43">
        <f>(Q$28*0.0032*($Q$24/5)^1.3)/(($Q$15/2)^1.4)</f>
        <v>5.0446529294962893E-6</v>
      </c>
      <c r="R77" s="43">
        <f>(R$28*0.0032*($R$24/5)^1.3)/(($R$15/2)^1.4)</f>
        <v>5.0446529294962893E-6</v>
      </c>
      <c r="S77" s="58">
        <f>($S$28*((S36/100)^0.91)*(25^1.02))</f>
        <v>1.4397681719812955E-2</v>
      </c>
    </row>
    <row r="78" spans="1:19" x14ac:dyDescent="0.25">
      <c r="A78" s="30" t="s">
        <v>206</v>
      </c>
      <c r="B78" s="26"/>
      <c r="C78" s="26"/>
      <c r="D78" s="26"/>
      <c r="E78" s="26" t="s">
        <v>153</v>
      </c>
      <c r="F78" s="26"/>
      <c r="G78" s="26"/>
      <c r="H78" s="26"/>
      <c r="I78" s="26"/>
      <c r="J78" s="26"/>
      <c r="K78" s="27"/>
      <c r="L78" s="43">
        <f>L76*(1-$L$40/100)</f>
        <v>6.1554524580637853E-7</v>
      </c>
      <c r="M78" s="43">
        <f>M76*(1-$M$40/100)</f>
        <v>3.6932714748382682E-6</v>
      </c>
      <c r="N78" s="43">
        <f>N76*(1-N$40/100)</f>
        <v>6.1554524580637853E-7</v>
      </c>
      <c r="O78" s="43">
        <f>O76*(1-O$40/100)</f>
        <v>6.1554524580637853E-7</v>
      </c>
      <c r="P78" s="43">
        <f t="shared" ref="P78:R79" si="2">P76*(1-P$40/100)</f>
        <v>1.2310904916127571E-6</v>
      </c>
      <c r="Q78" s="43">
        <f t="shared" si="2"/>
        <v>6.1554524580637853E-7</v>
      </c>
      <c r="R78" s="43">
        <f t="shared" si="2"/>
        <v>6.1554524580637853E-7</v>
      </c>
      <c r="S78" s="58">
        <f>S76*(1-$S$40/100)</f>
        <v>5.7590726879251826E-3</v>
      </c>
    </row>
    <row r="79" spans="1:19" x14ac:dyDescent="0.25">
      <c r="A79" s="30"/>
      <c r="B79" s="26"/>
      <c r="C79" s="26"/>
      <c r="D79" s="26"/>
      <c r="E79" s="26" t="s">
        <v>117</v>
      </c>
      <c r="F79" s="26"/>
      <c r="G79" s="26"/>
      <c r="H79" s="26"/>
      <c r="I79" s="26"/>
      <c r="J79" s="26"/>
      <c r="K79" s="27"/>
      <c r="L79" s="43">
        <f>L77*(1-$L$40/100)</f>
        <v>2.5223264647481469E-7</v>
      </c>
      <c r="M79" s="43">
        <f>M77*(1-$M$40/100)</f>
        <v>1.513395878848887E-6</v>
      </c>
      <c r="N79" s="43">
        <f>N77*(1-N$40/100)</f>
        <v>2.5223264647481469E-7</v>
      </c>
      <c r="O79" s="43">
        <f>O77*(1-O$40/100)</f>
        <v>2.5223264647481469E-7</v>
      </c>
      <c r="P79" s="43">
        <f t="shared" si="2"/>
        <v>5.0446529294962937E-7</v>
      </c>
      <c r="Q79" s="43">
        <f t="shared" si="2"/>
        <v>2.5223264647481469E-7</v>
      </c>
      <c r="R79" s="43">
        <f t="shared" si="2"/>
        <v>2.5223264647481469E-7</v>
      </c>
      <c r="S79" s="58">
        <f>S77*(1-$S$40/100)</f>
        <v>5.7590726879251826E-3</v>
      </c>
    </row>
    <row r="80" spans="1:19" x14ac:dyDescent="0.25">
      <c r="A80" s="30"/>
      <c r="B80" s="26"/>
      <c r="C80" s="26"/>
      <c r="D80" s="26"/>
      <c r="E80" s="26"/>
      <c r="F80" s="26"/>
      <c r="G80" s="26"/>
      <c r="H80" s="26"/>
      <c r="I80" s="26"/>
      <c r="J80" s="26"/>
      <c r="K80" s="27"/>
      <c r="L80" s="27"/>
      <c r="M80" s="27"/>
      <c r="N80" s="27"/>
      <c r="O80" s="27"/>
      <c r="P80" s="27"/>
      <c r="Q80" s="27"/>
      <c r="R80" s="27"/>
      <c r="S80" s="35"/>
    </row>
    <row r="81" spans="1:19" x14ac:dyDescent="0.25">
      <c r="A81" s="25" t="s">
        <v>208</v>
      </c>
      <c r="B81" s="26"/>
      <c r="C81" s="26"/>
      <c r="D81" s="26"/>
      <c r="E81" s="26"/>
      <c r="F81" s="26"/>
      <c r="G81" s="26"/>
      <c r="H81" s="26"/>
      <c r="I81" s="26"/>
      <c r="J81" s="26"/>
      <c r="K81" s="27"/>
      <c r="L81" s="27"/>
      <c r="M81" s="27"/>
      <c r="N81" s="27"/>
      <c r="O81" s="27"/>
      <c r="P81" s="27"/>
      <c r="Q81" s="27"/>
      <c r="R81" s="27"/>
      <c r="S81" s="35"/>
    </row>
    <row r="82" spans="1:19" x14ac:dyDescent="0.25">
      <c r="A82" s="25" t="s">
        <v>26</v>
      </c>
      <c r="B82" s="26"/>
      <c r="C82" s="26"/>
      <c r="D82" s="26" t="s">
        <v>209</v>
      </c>
      <c r="E82" s="26"/>
      <c r="F82" s="26"/>
      <c r="G82" s="26"/>
      <c r="H82" s="26"/>
      <c r="I82" s="26"/>
      <c r="J82" s="26"/>
      <c r="K82" s="27"/>
      <c r="L82" s="59">
        <f>L$66*L$12</f>
        <v>7.2193004677970735E-4</v>
      </c>
      <c r="M82" s="42">
        <f t="shared" ref="M82:R82" si="3">M$66*M$12</f>
        <v>4.3315802806782409E-3</v>
      </c>
      <c r="N82" s="42">
        <f t="shared" si="3"/>
        <v>7.2193004677970735E-4</v>
      </c>
      <c r="O82" s="42">
        <f t="shared" si="3"/>
        <v>7.2193004677970735E-4</v>
      </c>
      <c r="P82" s="59">
        <f t="shared" si="3"/>
        <v>1.4438600935594147E-3</v>
      </c>
      <c r="Q82" s="59">
        <f t="shared" si="3"/>
        <v>7.2193004677970735E-4</v>
      </c>
      <c r="R82" s="59">
        <f t="shared" si="3"/>
        <v>7.2193004677970735E-4</v>
      </c>
      <c r="S82" s="60">
        <f>S$66*S$12/24</f>
        <v>1.9552407273820062E-3</v>
      </c>
    </row>
    <row r="83" spans="1:19" x14ac:dyDescent="0.25">
      <c r="A83" s="30"/>
      <c r="B83" s="26"/>
      <c r="C83" s="26"/>
      <c r="D83" s="26" t="s">
        <v>210</v>
      </c>
      <c r="E83" s="26"/>
      <c r="F83" s="26"/>
      <c r="G83" s="26"/>
      <c r="H83" s="26"/>
      <c r="I83" s="26"/>
      <c r="J83" s="26"/>
      <c r="K83" s="27"/>
      <c r="L83" s="59">
        <f>L$67*L$14/2000</f>
        <v>1.2969630877988976E-3</v>
      </c>
      <c r="M83" s="42">
        <f t="shared" ref="M83:R83" si="4">M$67*M$14/2000</f>
        <v>7.7817785267933802E-3</v>
      </c>
      <c r="N83" s="42">
        <f t="shared" si="4"/>
        <v>1.2969630877988976E-3</v>
      </c>
      <c r="O83" s="42">
        <f t="shared" si="4"/>
        <v>1.2969630877988976E-3</v>
      </c>
      <c r="P83" s="59">
        <f t="shared" si="4"/>
        <v>2.5939261755977953E-3</v>
      </c>
      <c r="Q83" s="59">
        <f t="shared" si="4"/>
        <v>1.2969630877988976E-3</v>
      </c>
      <c r="R83" s="59">
        <f t="shared" si="4"/>
        <v>1.2969630877988976E-3</v>
      </c>
      <c r="S83" s="60">
        <f>S82*8760/2000</f>
        <v>8.5639543859331868E-3</v>
      </c>
    </row>
    <row r="84" spans="1:19" x14ac:dyDescent="0.25">
      <c r="A84" s="30"/>
      <c r="B84" s="26"/>
      <c r="C84" s="26"/>
      <c r="D84" s="26"/>
      <c r="E84" s="26"/>
      <c r="F84" s="26"/>
      <c r="G84" s="26"/>
      <c r="H84" s="26"/>
      <c r="I84" s="26"/>
      <c r="J84" s="26"/>
      <c r="K84" s="27"/>
      <c r="L84" s="61"/>
      <c r="M84" s="61"/>
      <c r="N84" s="61"/>
      <c r="O84" s="61"/>
      <c r="P84" s="61"/>
      <c r="Q84" s="61"/>
      <c r="R84" s="61"/>
      <c r="S84" s="62"/>
    </row>
    <row r="85" spans="1:19" ht="18" x14ac:dyDescent="0.35">
      <c r="A85" s="25" t="s">
        <v>211</v>
      </c>
      <c r="B85" s="26"/>
      <c r="C85" s="26"/>
      <c r="D85" s="26" t="s">
        <v>209</v>
      </c>
      <c r="E85" s="26"/>
      <c r="F85" s="26"/>
      <c r="G85" s="26"/>
      <c r="H85" s="26"/>
      <c r="I85" s="26"/>
      <c r="J85" s="26"/>
      <c r="K85" s="27"/>
      <c r="L85" s="59">
        <f>L$72*L$12</f>
        <v>3.4145340050391559E-4</v>
      </c>
      <c r="M85" s="42">
        <f t="shared" ref="M85:R85" si="5">M$72*M$12</f>
        <v>2.0487204030234917E-3</v>
      </c>
      <c r="N85" s="42">
        <f t="shared" si="5"/>
        <v>3.4145340050391559E-4</v>
      </c>
      <c r="O85" s="42">
        <f t="shared" si="5"/>
        <v>3.4145340050391559E-4</v>
      </c>
      <c r="P85" s="59">
        <f t="shared" si="5"/>
        <v>6.8290680100783119E-4</v>
      </c>
      <c r="Q85" s="59">
        <f t="shared" si="5"/>
        <v>3.4145340050391559E-4</v>
      </c>
      <c r="R85" s="59">
        <f t="shared" si="5"/>
        <v>3.4145340050391559E-4</v>
      </c>
      <c r="S85" s="60">
        <f>S$72*S$12/24</f>
        <v>3.9104814547640128E-4</v>
      </c>
    </row>
    <row r="86" spans="1:19" x14ac:dyDescent="0.25">
      <c r="A86" s="30"/>
      <c r="B86" s="26"/>
      <c r="C86" s="26"/>
      <c r="D86" s="26" t="s">
        <v>210</v>
      </c>
      <c r="E86" s="26"/>
      <c r="F86" s="26"/>
      <c r="G86" s="26"/>
      <c r="H86" s="26"/>
      <c r="I86" s="26"/>
      <c r="J86" s="26"/>
      <c r="K86" s="27"/>
      <c r="L86" s="59">
        <f>L$73*L$14/2000</f>
        <v>6.1342848747245147E-4</v>
      </c>
      <c r="M86" s="42">
        <f t="shared" ref="M86:R86" si="6">M$73*M$14/2000</f>
        <v>3.680570924834706E-3</v>
      </c>
      <c r="N86" s="42">
        <f t="shared" si="6"/>
        <v>6.1342848747245147E-4</v>
      </c>
      <c r="O86" s="42">
        <f t="shared" si="6"/>
        <v>6.1342848747245147E-4</v>
      </c>
      <c r="P86" s="59">
        <f t="shared" si="6"/>
        <v>1.2268569749449029E-3</v>
      </c>
      <c r="Q86" s="59">
        <f t="shared" si="6"/>
        <v>6.1342848747245147E-4</v>
      </c>
      <c r="R86" s="59">
        <f t="shared" si="6"/>
        <v>6.1342848747245147E-4</v>
      </c>
      <c r="S86" s="60">
        <f>S85*8760/2000</f>
        <v>1.7127908771866376E-3</v>
      </c>
    </row>
    <row r="87" spans="1:19" x14ac:dyDescent="0.25">
      <c r="A87" s="30"/>
      <c r="B87" s="26"/>
      <c r="C87" s="26"/>
      <c r="D87" s="26"/>
      <c r="E87" s="26"/>
      <c r="F87" s="26"/>
      <c r="G87" s="26"/>
      <c r="H87" s="26"/>
      <c r="I87" s="26"/>
      <c r="J87" s="26"/>
      <c r="K87" s="27"/>
      <c r="L87" s="61"/>
      <c r="M87" s="61"/>
      <c r="N87" s="61"/>
      <c r="O87" s="61"/>
      <c r="P87" s="61"/>
      <c r="Q87" s="61"/>
      <c r="R87" s="61"/>
      <c r="S87" s="62"/>
    </row>
    <row r="88" spans="1:19" ht="18" x14ac:dyDescent="0.35">
      <c r="A88" s="25" t="s">
        <v>212</v>
      </c>
      <c r="B88" s="26"/>
      <c r="C88" s="26"/>
      <c r="D88" s="26" t="s">
        <v>209</v>
      </c>
      <c r="E88" s="26"/>
      <c r="F88" s="26"/>
      <c r="G88" s="26"/>
      <c r="H88" s="26"/>
      <c r="I88" s="26"/>
      <c r="J88" s="26"/>
      <c r="K88" s="27"/>
      <c r="L88" s="59">
        <f>L$78*L$12</f>
        <v>5.1705800647735794E-5</v>
      </c>
      <c r="M88" s="42">
        <f t="shared" ref="M88:R88" si="7">M$78*M$12</f>
        <v>3.1023480388641452E-4</v>
      </c>
      <c r="N88" s="42">
        <f t="shared" si="7"/>
        <v>5.1705800647735794E-5</v>
      </c>
      <c r="O88" s="42">
        <f t="shared" si="7"/>
        <v>5.1705800647735794E-5</v>
      </c>
      <c r="P88" s="59">
        <f t="shared" si="7"/>
        <v>1.0341160129547159E-4</v>
      </c>
      <c r="Q88" s="59">
        <f t="shared" si="7"/>
        <v>5.1705800647735794E-5</v>
      </c>
      <c r="R88" s="59">
        <f t="shared" si="7"/>
        <v>5.1705800647735794E-5</v>
      </c>
      <c r="S88" s="60">
        <f>S$78*S$12/24</f>
        <v>9.5984544798753048E-5</v>
      </c>
    </row>
    <row r="89" spans="1:19" x14ac:dyDescent="0.25">
      <c r="A89" s="50"/>
      <c r="B89" s="31"/>
      <c r="C89" s="31"/>
      <c r="D89" s="31" t="s">
        <v>210</v>
      </c>
      <c r="E89" s="31"/>
      <c r="F89" s="31"/>
      <c r="G89" s="31"/>
      <c r="H89" s="31"/>
      <c r="I89" s="31"/>
      <c r="J89" s="31"/>
      <c r="K89" s="51"/>
      <c r="L89" s="63">
        <f>L$79*L$14/2000</f>
        <v>9.2890599531542656E-5</v>
      </c>
      <c r="M89" s="53">
        <f t="shared" ref="M89:R89" si="8">M$79*M$14/2000</f>
        <v>5.5734359718925548E-4</v>
      </c>
      <c r="N89" s="53">
        <f t="shared" si="8"/>
        <v>9.2890599531542656E-5</v>
      </c>
      <c r="O89" s="53">
        <f t="shared" si="8"/>
        <v>9.2890599531542656E-5</v>
      </c>
      <c r="P89" s="63">
        <f t="shared" si="8"/>
        <v>1.8578119906308531E-4</v>
      </c>
      <c r="Q89" s="63">
        <f t="shared" si="8"/>
        <v>9.2890599531542656E-5</v>
      </c>
      <c r="R89" s="63">
        <f t="shared" si="8"/>
        <v>9.2890599531542656E-5</v>
      </c>
      <c r="S89" s="64">
        <f>S88*8760/2000</f>
        <v>4.2041230621853837E-4</v>
      </c>
    </row>
    <row r="90" spans="1:19" ht="17.25" x14ac:dyDescent="0.25">
      <c r="A90" s="55" t="s">
        <v>303</v>
      </c>
      <c r="B90" t="s">
        <v>213</v>
      </c>
    </row>
    <row r="91" spans="1:19" x14ac:dyDescent="0.25">
      <c r="A91" s="174" t="s">
        <v>361</v>
      </c>
      <c r="B91" t="s">
        <v>365</v>
      </c>
    </row>
  </sheetData>
  <mergeCells count="2">
    <mergeCell ref="A5:I5"/>
    <mergeCell ref="S3:S4"/>
  </mergeCells>
  <pageMargins left="0.7" right="0.7" top="0.75" bottom="0.75" header="0.3" footer="0.3"/>
  <pageSetup paperSize="17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view="pageBreakPreview" zoomScale="90" zoomScaleNormal="100" zoomScaleSheetLayoutView="90" workbookViewId="0"/>
  </sheetViews>
  <sheetFormatPr defaultRowHeight="15" x14ac:dyDescent="0.25"/>
  <cols>
    <col min="1" max="1" width="44.7109375" customWidth="1"/>
    <col min="3" max="3" width="9.140625" style="19"/>
    <col min="5" max="5" width="49" bestFit="1" customWidth="1"/>
    <col min="6" max="6" width="3.5703125" customWidth="1"/>
  </cols>
  <sheetData>
    <row r="1" spans="1:5" x14ac:dyDescent="0.25">
      <c r="A1" s="18" t="s">
        <v>351</v>
      </c>
    </row>
    <row r="3" spans="1:5" ht="26.25" customHeight="1" x14ac:dyDescent="0.25">
      <c r="A3" s="69" t="s">
        <v>226</v>
      </c>
      <c r="B3" s="70"/>
      <c r="C3" s="71" t="s">
        <v>227</v>
      </c>
      <c r="D3" s="70"/>
      <c r="E3" s="72" t="s">
        <v>228</v>
      </c>
    </row>
    <row r="4" spans="1:5" x14ac:dyDescent="0.25">
      <c r="A4" s="30"/>
      <c r="B4" s="26"/>
      <c r="C4" s="27"/>
      <c r="D4" s="26"/>
      <c r="E4" s="65"/>
    </row>
    <row r="5" spans="1:5" ht="17.25" x14ac:dyDescent="0.25">
      <c r="A5" s="66" t="s">
        <v>231</v>
      </c>
      <c r="B5" s="26"/>
      <c r="C5" s="27"/>
      <c r="D5" s="26"/>
      <c r="E5" s="65"/>
    </row>
    <row r="6" spans="1:5" x14ac:dyDescent="0.25">
      <c r="A6" s="67" t="s">
        <v>229</v>
      </c>
      <c r="B6" s="26"/>
      <c r="C6" s="27">
        <v>12</v>
      </c>
      <c r="D6" s="26"/>
      <c r="E6" s="65" t="s">
        <v>230</v>
      </c>
    </row>
    <row r="7" spans="1:5" x14ac:dyDescent="0.25">
      <c r="A7" s="30"/>
      <c r="B7" s="26"/>
      <c r="C7" s="27">
        <v>365</v>
      </c>
      <c r="D7" s="26"/>
      <c r="E7" s="65" t="s">
        <v>232</v>
      </c>
    </row>
    <row r="8" spans="1:5" x14ac:dyDescent="0.25">
      <c r="A8" s="30"/>
      <c r="B8" s="26"/>
      <c r="C8" s="36">
        <v>4380</v>
      </c>
      <c r="D8" s="26"/>
      <c r="E8" s="65" t="s">
        <v>233</v>
      </c>
    </row>
    <row r="9" spans="1:5" x14ac:dyDescent="0.25">
      <c r="A9" s="30"/>
      <c r="B9" s="26"/>
      <c r="C9" s="27"/>
      <c r="D9" s="26"/>
      <c r="E9" s="65"/>
    </row>
    <row r="10" spans="1:5" x14ac:dyDescent="0.25">
      <c r="A10" s="67" t="s">
        <v>234</v>
      </c>
      <c r="B10" s="26"/>
      <c r="C10" s="27">
        <v>168</v>
      </c>
      <c r="D10" s="26"/>
      <c r="E10" s="65" t="s">
        <v>235</v>
      </c>
    </row>
    <row r="11" spans="1:5" x14ac:dyDescent="0.25">
      <c r="A11" s="144" t="s">
        <v>331</v>
      </c>
      <c r="B11" s="26"/>
      <c r="C11" s="27"/>
      <c r="D11" s="26"/>
      <c r="E11" s="65"/>
    </row>
    <row r="12" spans="1:5" x14ac:dyDescent="0.25">
      <c r="A12" s="30" t="s">
        <v>304</v>
      </c>
      <c r="B12" s="26"/>
      <c r="C12" s="27"/>
      <c r="D12" s="26"/>
      <c r="E12" s="65"/>
    </row>
    <row r="13" spans="1:5" x14ac:dyDescent="0.25">
      <c r="A13" s="30"/>
      <c r="B13" s="26"/>
      <c r="C13" s="36">
        <v>2018</v>
      </c>
      <c r="D13" s="26"/>
      <c r="E13" s="65" t="s">
        <v>236</v>
      </c>
    </row>
    <row r="14" spans="1:5" x14ac:dyDescent="0.25">
      <c r="A14" s="30"/>
      <c r="B14" s="26"/>
      <c r="C14" s="36">
        <v>736547</v>
      </c>
      <c r="D14" s="26"/>
      <c r="E14" s="65" t="s">
        <v>237</v>
      </c>
    </row>
    <row r="15" spans="1:5" x14ac:dyDescent="0.25">
      <c r="A15" s="66" t="s">
        <v>238</v>
      </c>
      <c r="B15" s="26"/>
      <c r="C15" s="27"/>
      <c r="D15" s="26"/>
      <c r="E15" s="65"/>
    </row>
    <row r="16" spans="1:5" x14ac:dyDescent="0.25">
      <c r="A16" s="67" t="s">
        <v>239</v>
      </c>
      <c r="B16" s="26"/>
      <c r="C16" s="27">
        <v>13</v>
      </c>
      <c r="D16" s="26"/>
      <c r="E16" s="65" t="s">
        <v>240</v>
      </c>
    </row>
    <row r="17" spans="1:5" x14ac:dyDescent="0.25">
      <c r="A17" s="30"/>
      <c r="B17" s="26"/>
      <c r="C17" s="27">
        <v>38</v>
      </c>
      <c r="D17" s="26"/>
      <c r="E17" s="65" t="s">
        <v>241</v>
      </c>
    </row>
    <row r="18" spans="1:5" x14ac:dyDescent="0.25">
      <c r="A18" s="30"/>
      <c r="B18" s="26"/>
      <c r="C18" s="27">
        <v>25</v>
      </c>
      <c r="D18" s="26"/>
      <c r="E18" s="65" t="s">
        <v>242</v>
      </c>
    </row>
    <row r="19" spans="1:5" x14ac:dyDescent="0.25">
      <c r="A19" s="30"/>
      <c r="B19" s="26"/>
      <c r="C19" s="27">
        <v>81</v>
      </c>
      <c r="D19" s="26"/>
      <c r="E19" s="65" t="s">
        <v>243</v>
      </c>
    </row>
    <row r="20" spans="1:5" x14ac:dyDescent="0.25">
      <c r="A20" s="30"/>
      <c r="B20" s="26"/>
      <c r="C20" s="36">
        <v>29462</v>
      </c>
      <c r="D20" s="26"/>
      <c r="E20" s="65" t="s">
        <v>244</v>
      </c>
    </row>
    <row r="21" spans="1:5" x14ac:dyDescent="0.25">
      <c r="A21" s="30"/>
      <c r="B21" s="26"/>
      <c r="C21" s="36">
        <v>7626</v>
      </c>
      <c r="D21" s="26"/>
      <c r="E21" s="65" t="s">
        <v>245</v>
      </c>
    </row>
    <row r="22" spans="1:5" x14ac:dyDescent="0.25">
      <c r="A22" s="30"/>
      <c r="B22" s="26"/>
      <c r="C22" s="27">
        <v>1.4</v>
      </c>
      <c r="D22" s="26"/>
      <c r="E22" s="65" t="s">
        <v>246</v>
      </c>
    </row>
    <row r="23" spans="1:5" x14ac:dyDescent="0.25">
      <c r="A23" s="66" t="s">
        <v>65</v>
      </c>
      <c r="B23" s="26"/>
      <c r="C23" s="27"/>
      <c r="D23" s="26"/>
      <c r="E23" s="65"/>
    </row>
    <row r="24" spans="1:5" x14ac:dyDescent="0.25">
      <c r="A24" s="67" t="s">
        <v>229</v>
      </c>
      <c r="B24" s="26"/>
      <c r="C24" s="27">
        <v>24</v>
      </c>
      <c r="D24" s="26"/>
      <c r="E24" s="65" t="s">
        <v>248</v>
      </c>
    </row>
    <row r="25" spans="1:5" x14ac:dyDescent="0.25">
      <c r="A25" s="30"/>
      <c r="B25" s="26"/>
      <c r="C25" s="27">
        <v>365</v>
      </c>
      <c r="D25" s="26"/>
      <c r="E25" s="65" t="s">
        <v>249</v>
      </c>
    </row>
    <row r="26" spans="1:5" x14ac:dyDescent="0.25">
      <c r="A26" s="30"/>
      <c r="B26" s="26"/>
      <c r="C26" s="27" t="s">
        <v>247</v>
      </c>
      <c r="D26" s="26"/>
      <c r="E26" s="65" t="s">
        <v>250</v>
      </c>
    </row>
    <row r="27" spans="1:5" x14ac:dyDescent="0.25">
      <c r="A27" s="30"/>
      <c r="B27" s="26"/>
      <c r="C27" s="27"/>
      <c r="D27" s="26"/>
      <c r="E27" s="65"/>
    </row>
    <row r="28" spans="1:5" x14ac:dyDescent="0.25">
      <c r="A28" s="67" t="s">
        <v>234</v>
      </c>
      <c r="B28" s="26"/>
      <c r="C28" s="27">
        <v>900</v>
      </c>
      <c r="D28" s="26"/>
      <c r="E28" s="65" t="s">
        <v>251</v>
      </c>
    </row>
    <row r="29" spans="1:5" x14ac:dyDescent="0.25">
      <c r="A29" s="30"/>
      <c r="B29" s="26"/>
      <c r="C29" s="27">
        <v>35</v>
      </c>
      <c r="D29" s="26"/>
      <c r="E29" s="65" t="s">
        <v>252</v>
      </c>
    </row>
    <row r="30" spans="1:5" x14ac:dyDescent="0.25">
      <c r="A30" s="30"/>
      <c r="B30" s="26"/>
      <c r="C30" s="36">
        <v>5352</v>
      </c>
      <c r="D30" s="26"/>
      <c r="E30" s="65" t="s">
        <v>253</v>
      </c>
    </row>
    <row r="31" spans="1:5" x14ac:dyDescent="0.25">
      <c r="A31" s="30"/>
      <c r="B31" s="26"/>
      <c r="C31" s="36">
        <v>168161</v>
      </c>
      <c r="D31" s="26"/>
      <c r="E31" s="65" t="s">
        <v>254</v>
      </c>
    </row>
    <row r="32" spans="1:5" x14ac:dyDescent="0.25">
      <c r="A32" s="30"/>
      <c r="B32" s="26"/>
      <c r="C32" s="27">
        <v>84</v>
      </c>
      <c r="D32" s="26"/>
      <c r="E32" s="65" t="s">
        <v>255</v>
      </c>
    </row>
    <row r="33" spans="1:5" x14ac:dyDescent="0.25">
      <c r="A33" s="30"/>
      <c r="B33" s="26"/>
      <c r="C33" s="36">
        <v>2018</v>
      </c>
      <c r="D33" s="26"/>
      <c r="E33" s="65" t="s">
        <v>256</v>
      </c>
    </row>
    <row r="34" spans="1:5" x14ac:dyDescent="0.25">
      <c r="A34" s="30"/>
      <c r="B34" s="26"/>
      <c r="C34" s="36">
        <v>736547</v>
      </c>
      <c r="D34" s="26"/>
      <c r="E34" s="65" t="s">
        <v>210</v>
      </c>
    </row>
    <row r="35" spans="1:5" x14ac:dyDescent="0.25">
      <c r="A35" s="66" t="s">
        <v>257</v>
      </c>
      <c r="B35" s="26"/>
      <c r="C35" s="27"/>
      <c r="D35" s="26"/>
      <c r="E35" s="65"/>
    </row>
    <row r="36" spans="1:5" x14ac:dyDescent="0.25">
      <c r="A36" s="67" t="s">
        <v>258</v>
      </c>
      <c r="B36" s="26"/>
      <c r="C36" s="27">
        <v>1</v>
      </c>
      <c r="D36" s="26"/>
      <c r="E36" s="65" t="s">
        <v>259</v>
      </c>
    </row>
    <row r="37" spans="1:5" x14ac:dyDescent="0.25">
      <c r="A37" s="30"/>
      <c r="B37" s="26"/>
      <c r="C37" s="27">
        <v>25</v>
      </c>
      <c r="D37" s="26"/>
      <c r="E37" s="65" t="s">
        <v>260</v>
      </c>
    </row>
    <row r="38" spans="1:5" x14ac:dyDescent="0.25">
      <c r="A38" s="30"/>
      <c r="B38" s="26"/>
      <c r="C38" s="27">
        <v>5</v>
      </c>
      <c r="D38" s="26"/>
      <c r="E38" s="65" t="s">
        <v>261</v>
      </c>
    </row>
    <row r="39" spans="1:5" x14ac:dyDescent="0.25">
      <c r="A39" s="30"/>
      <c r="B39" s="26"/>
      <c r="C39" s="27">
        <v>0.2</v>
      </c>
      <c r="D39" s="26"/>
      <c r="E39" s="65" t="s">
        <v>262</v>
      </c>
    </row>
    <row r="40" spans="1:5" x14ac:dyDescent="0.25">
      <c r="A40" s="30"/>
      <c r="B40" s="26"/>
      <c r="C40" s="36">
        <v>7817</v>
      </c>
      <c r="D40" s="26"/>
      <c r="E40" s="65" t="s">
        <v>263</v>
      </c>
    </row>
    <row r="41" spans="1:5" x14ac:dyDescent="0.25">
      <c r="A41" s="30"/>
      <c r="B41" s="26"/>
      <c r="C41" s="27">
        <v>1.4</v>
      </c>
      <c r="D41" s="26"/>
      <c r="E41" s="65" t="s">
        <v>264</v>
      </c>
    </row>
    <row r="42" spans="1:5" x14ac:dyDescent="0.25">
      <c r="A42" s="30"/>
      <c r="B42" s="26"/>
      <c r="C42" s="27">
        <v>0.3</v>
      </c>
      <c r="D42" s="26"/>
      <c r="E42" s="65" t="s">
        <v>265</v>
      </c>
    </row>
    <row r="43" spans="1:5" x14ac:dyDescent="0.25">
      <c r="A43" s="30"/>
      <c r="B43" s="26"/>
      <c r="C43" s="27"/>
      <c r="D43" s="26"/>
      <c r="E43" s="65"/>
    </row>
    <row r="44" spans="1:5" hidden="1" x14ac:dyDescent="0.25">
      <c r="A44" s="67" t="s">
        <v>266</v>
      </c>
      <c r="B44" s="26"/>
      <c r="C44" s="27">
        <v>1300</v>
      </c>
      <c r="D44" s="26"/>
      <c r="E44" s="65" t="s">
        <v>267</v>
      </c>
    </row>
    <row r="45" spans="1:5" hidden="1" x14ac:dyDescent="0.25">
      <c r="A45" s="30"/>
      <c r="B45" s="26"/>
      <c r="C45" s="27">
        <v>25</v>
      </c>
      <c r="D45" s="26"/>
      <c r="E45" s="65" t="s">
        <v>268</v>
      </c>
    </row>
    <row r="46" spans="1:5" hidden="1" x14ac:dyDescent="0.25">
      <c r="A46" s="30"/>
      <c r="B46" s="26"/>
      <c r="C46" s="27">
        <v>52</v>
      </c>
      <c r="D46" s="26"/>
      <c r="E46" s="65" t="s">
        <v>269</v>
      </c>
    </row>
    <row r="47" spans="1:5" hidden="1" x14ac:dyDescent="0.25">
      <c r="A47" s="30"/>
      <c r="B47" s="26"/>
      <c r="C47" s="27">
        <v>60</v>
      </c>
      <c r="D47" s="26"/>
      <c r="E47" s="65" t="s">
        <v>270</v>
      </c>
    </row>
    <row r="48" spans="1:5" hidden="1" x14ac:dyDescent="0.25">
      <c r="A48" s="30"/>
      <c r="B48" s="26"/>
      <c r="C48" s="27">
        <v>52</v>
      </c>
      <c r="D48" s="26"/>
      <c r="E48" s="65" t="s">
        <v>271</v>
      </c>
    </row>
    <row r="49" spans="1:5" x14ac:dyDescent="0.25">
      <c r="A49" s="66" t="s">
        <v>272</v>
      </c>
      <c r="B49" s="26"/>
      <c r="C49" s="27"/>
      <c r="D49" s="26"/>
      <c r="E49" s="65"/>
    </row>
    <row r="50" spans="1:5" ht="17.25" x14ac:dyDescent="0.25">
      <c r="A50" s="67" t="s">
        <v>273</v>
      </c>
      <c r="B50" s="26"/>
      <c r="C50" s="36">
        <v>141556</v>
      </c>
      <c r="D50" s="26"/>
      <c r="E50" s="65" t="s">
        <v>274</v>
      </c>
    </row>
    <row r="51" spans="1:5" x14ac:dyDescent="0.25">
      <c r="A51" s="67" t="s">
        <v>275</v>
      </c>
      <c r="B51" s="26"/>
      <c r="C51" s="27">
        <v>425</v>
      </c>
      <c r="D51" s="26"/>
      <c r="E51" s="65" t="s">
        <v>276</v>
      </c>
    </row>
    <row r="52" spans="1:5" x14ac:dyDescent="0.25">
      <c r="A52" s="67"/>
      <c r="B52" s="26"/>
      <c r="C52" s="27"/>
      <c r="D52" s="26"/>
      <c r="E52" s="65"/>
    </row>
    <row r="53" spans="1:5" ht="17.25" x14ac:dyDescent="0.25">
      <c r="A53" s="67" t="s">
        <v>277</v>
      </c>
      <c r="B53" s="26"/>
      <c r="C53" s="36">
        <v>1333</v>
      </c>
      <c r="D53" s="26"/>
      <c r="E53" s="65" t="s">
        <v>278</v>
      </c>
    </row>
    <row r="54" spans="1:5" x14ac:dyDescent="0.25">
      <c r="A54" s="67"/>
      <c r="B54" s="26"/>
      <c r="C54" s="27">
        <v>0.3</v>
      </c>
      <c r="D54" s="26"/>
      <c r="E54" s="65" t="s">
        <v>279</v>
      </c>
    </row>
    <row r="55" spans="1:5" x14ac:dyDescent="0.25">
      <c r="A55" s="67" t="s">
        <v>280</v>
      </c>
      <c r="B55" s="26"/>
      <c r="C55" s="27">
        <v>40</v>
      </c>
      <c r="D55" s="26"/>
      <c r="E55" s="65" t="s">
        <v>281</v>
      </c>
    </row>
    <row r="56" spans="1:5" x14ac:dyDescent="0.25">
      <c r="A56" s="67" t="s">
        <v>282</v>
      </c>
      <c r="B56" s="26"/>
      <c r="C56" s="36">
        <v>14654</v>
      </c>
      <c r="D56" s="26"/>
      <c r="E56" s="65" t="s">
        <v>283</v>
      </c>
    </row>
    <row r="57" spans="1:5" x14ac:dyDescent="0.25">
      <c r="A57" s="67"/>
      <c r="B57" s="26"/>
      <c r="C57" s="27"/>
      <c r="D57" s="26"/>
      <c r="E57" s="65"/>
    </row>
    <row r="58" spans="1:5" x14ac:dyDescent="0.25">
      <c r="A58" s="67" t="s">
        <v>284</v>
      </c>
      <c r="B58" s="26"/>
      <c r="C58" s="27">
        <v>84</v>
      </c>
      <c r="D58" s="26"/>
      <c r="E58" s="65" t="s">
        <v>285</v>
      </c>
    </row>
    <row r="59" spans="1:5" x14ac:dyDescent="0.25">
      <c r="A59" s="67"/>
      <c r="B59" s="26"/>
      <c r="C59" s="36">
        <v>2018</v>
      </c>
      <c r="D59" s="26"/>
      <c r="E59" s="65" t="s">
        <v>256</v>
      </c>
    </row>
    <row r="60" spans="1:5" x14ac:dyDescent="0.25">
      <c r="A60" s="67"/>
      <c r="B60" s="26"/>
      <c r="C60" s="36">
        <v>736547</v>
      </c>
      <c r="D60" s="26"/>
      <c r="E60" s="65" t="s">
        <v>210</v>
      </c>
    </row>
    <row r="61" spans="1:5" x14ac:dyDescent="0.25">
      <c r="A61" s="67"/>
      <c r="B61" s="26"/>
      <c r="C61" s="27"/>
      <c r="D61" s="26"/>
      <c r="E61" s="65"/>
    </row>
    <row r="62" spans="1:5" ht="17.25" x14ac:dyDescent="0.25">
      <c r="A62" s="67" t="s">
        <v>286</v>
      </c>
      <c r="B62" s="26"/>
      <c r="C62" s="36">
        <v>430858</v>
      </c>
      <c r="D62" s="26"/>
      <c r="E62" s="65" t="s">
        <v>287</v>
      </c>
    </row>
    <row r="63" spans="1:5" ht="17.25" x14ac:dyDescent="0.25">
      <c r="A63" s="67"/>
      <c r="B63" s="26"/>
      <c r="C63" s="27">
        <v>47</v>
      </c>
      <c r="D63" s="26"/>
      <c r="E63" s="65" t="s">
        <v>288</v>
      </c>
    </row>
    <row r="64" spans="1:5" ht="17.25" x14ac:dyDescent="0.25">
      <c r="A64" s="67"/>
      <c r="B64" s="26"/>
      <c r="C64" s="36">
        <v>1269</v>
      </c>
      <c r="D64" s="26"/>
      <c r="E64" s="65" t="s">
        <v>289</v>
      </c>
    </row>
    <row r="65" spans="1:5" x14ac:dyDescent="0.25">
      <c r="A65" s="67"/>
      <c r="B65" s="26"/>
      <c r="C65" s="27">
        <v>13</v>
      </c>
      <c r="D65" s="26"/>
      <c r="E65" s="65" t="s">
        <v>290</v>
      </c>
    </row>
    <row r="66" spans="1:5" x14ac:dyDescent="0.25">
      <c r="A66" s="67" t="s">
        <v>293</v>
      </c>
      <c r="B66" s="26"/>
      <c r="C66" s="27">
        <v>7</v>
      </c>
      <c r="D66" s="26"/>
      <c r="E66" s="65" t="s">
        <v>291</v>
      </c>
    </row>
    <row r="67" spans="1:5" x14ac:dyDescent="0.25">
      <c r="A67" s="50"/>
      <c r="B67" s="31"/>
      <c r="C67" s="51">
        <v>159</v>
      </c>
      <c r="D67" s="31"/>
      <c r="E67" s="68" t="s">
        <v>292</v>
      </c>
    </row>
    <row r="68" spans="1:5" x14ac:dyDescent="0.25">
      <c r="A68" t="s">
        <v>294</v>
      </c>
    </row>
    <row r="69" spans="1:5" ht="17.25" x14ac:dyDescent="0.25">
      <c r="A69" t="s">
        <v>295</v>
      </c>
    </row>
    <row r="70" spans="1:5" ht="17.25" x14ac:dyDescent="0.25">
      <c r="A70" t="s">
        <v>296</v>
      </c>
    </row>
    <row r="71" spans="1:5" ht="17.25" x14ac:dyDescent="0.25">
      <c r="A71" t="s">
        <v>297</v>
      </c>
    </row>
  </sheetData>
  <pageMargins left="0.7" right="0.7" top="0.75" bottom="0.75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8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2" max="2" width="3.7109375" customWidth="1"/>
    <col min="3" max="3" width="19" customWidth="1"/>
    <col min="4" max="4" width="11.42578125" customWidth="1"/>
    <col min="5" max="5" width="22.28515625" style="19" bestFit="1" customWidth="1"/>
    <col min="6" max="6" width="26.7109375" style="19" customWidth="1"/>
    <col min="7" max="7" width="3.7109375" customWidth="1"/>
  </cols>
  <sheetData>
    <row r="2" spans="2:7" x14ac:dyDescent="0.25">
      <c r="B2" s="125"/>
      <c r="C2" s="127" t="s">
        <v>352</v>
      </c>
      <c r="D2" s="125"/>
      <c r="E2" s="126"/>
      <c r="F2" s="126"/>
      <c r="G2" s="125"/>
    </row>
    <row r="3" spans="2:7" x14ac:dyDescent="0.25">
      <c r="B3" s="125"/>
      <c r="C3" s="212" t="s">
        <v>109</v>
      </c>
      <c r="D3" s="212"/>
      <c r="E3" s="92" t="s">
        <v>99</v>
      </c>
      <c r="F3" s="93" t="s">
        <v>20</v>
      </c>
      <c r="G3" s="125"/>
    </row>
    <row r="4" spans="2:7" x14ac:dyDescent="0.25">
      <c r="B4" s="125"/>
      <c r="C4" s="94" t="s">
        <v>112</v>
      </c>
      <c r="D4" s="95"/>
      <c r="E4" s="96"/>
      <c r="F4" s="96"/>
      <c r="G4" s="125"/>
    </row>
    <row r="5" spans="2:7" x14ac:dyDescent="0.25">
      <c r="B5" s="125"/>
      <c r="C5" s="97" t="s">
        <v>305</v>
      </c>
      <c r="D5" s="98"/>
      <c r="E5" s="99" t="s">
        <v>310</v>
      </c>
      <c r="F5" s="99">
        <v>11000</v>
      </c>
      <c r="G5" s="125"/>
    </row>
    <row r="6" spans="2:7" x14ac:dyDescent="0.25">
      <c r="B6" s="125"/>
      <c r="C6" s="97" t="s">
        <v>306</v>
      </c>
      <c r="D6" s="98"/>
      <c r="E6" s="99" t="s">
        <v>311</v>
      </c>
      <c r="F6" s="99">
        <v>200</v>
      </c>
      <c r="G6" s="125"/>
    </row>
    <row r="7" spans="2:7" x14ac:dyDescent="0.25">
      <c r="B7" s="125"/>
      <c r="C7" s="97" t="s">
        <v>307</v>
      </c>
      <c r="D7" s="98"/>
      <c r="E7" s="99" t="s">
        <v>311</v>
      </c>
      <c r="F7" s="99">
        <v>1.5</v>
      </c>
      <c r="G7" s="125"/>
    </row>
    <row r="8" spans="2:7" x14ac:dyDescent="0.25">
      <c r="B8" s="125"/>
      <c r="C8" s="97" t="s">
        <v>308</v>
      </c>
      <c r="D8" s="98"/>
      <c r="E8" s="99" t="s">
        <v>312</v>
      </c>
      <c r="F8" s="99">
        <v>180</v>
      </c>
      <c r="G8" s="125"/>
    </row>
    <row r="9" spans="2:7" x14ac:dyDescent="0.25">
      <c r="B9" s="125"/>
      <c r="C9" s="97" t="s">
        <v>309</v>
      </c>
      <c r="D9" s="98"/>
      <c r="E9" s="99" t="s">
        <v>313</v>
      </c>
      <c r="F9" s="99">
        <v>0.02</v>
      </c>
      <c r="G9" s="125"/>
    </row>
    <row r="10" spans="2:7" x14ac:dyDescent="0.25">
      <c r="B10" s="125"/>
      <c r="C10" s="97"/>
      <c r="D10" s="98"/>
      <c r="E10" s="99"/>
      <c r="F10" s="99"/>
      <c r="G10" s="125"/>
    </row>
    <row r="11" spans="2:7" x14ac:dyDescent="0.25">
      <c r="B11" s="125"/>
      <c r="C11" s="100" t="s">
        <v>329</v>
      </c>
      <c r="D11" s="98"/>
      <c r="E11" s="99"/>
      <c r="F11" s="99"/>
      <c r="G11" s="125"/>
    </row>
    <row r="12" spans="2:7" x14ac:dyDescent="0.25">
      <c r="B12" s="125"/>
      <c r="C12" s="97" t="s">
        <v>26</v>
      </c>
      <c r="D12" s="98"/>
      <c r="E12" s="99"/>
      <c r="F12" s="99">
        <v>9.9000000000000008E-3</v>
      </c>
      <c r="G12" s="125"/>
    </row>
    <row r="13" spans="2:7" x14ac:dyDescent="0.25">
      <c r="B13" s="125"/>
      <c r="C13" s="97" t="s">
        <v>27</v>
      </c>
      <c r="D13" s="98"/>
      <c r="E13" s="99"/>
      <c r="F13" s="99">
        <v>1.6000000000000001E-3</v>
      </c>
      <c r="G13" s="125"/>
    </row>
    <row r="14" spans="2:7" x14ac:dyDescent="0.25">
      <c r="B14" s="125"/>
      <c r="C14" s="97" t="s">
        <v>28</v>
      </c>
      <c r="D14" s="98"/>
      <c r="E14" s="99"/>
      <c r="F14" s="99">
        <v>5.9999999999999995E-4</v>
      </c>
      <c r="G14" s="125"/>
    </row>
    <row r="15" spans="2:7" x14ac:dyDescent="0.25">
      <c r="B15" s="125"/>
      <c r="C15" s="213" t="s">
        <v>330</v>
      </c>
      <c r="D15" s="214"/>
      <c r="E15" s="99"/>
      <c r="F15" s="99"/>
      <c r="G15" s="125"/>
    </row>
    <row r="16" spans="2:7" x14ac:dyDescent="0.25">
      <c r="B16" s="125"/>
      <c r="C16" s="213"/>
      <c r="D16" s="214"/>
      <c r="E16" s="99"/>
      <c r="F16" s="99"/>
      <c r="G16" s="125"/>
    </row>
    <row r="17" spans="2:7" x14ac:dyDescent="0.25">
      <c r="B17" s="125"/>
      <c r="C17" s="213"/>
      <c r="D17" s="214"/>
      <c r="E17" s="99"/>
      <c r="F17" s="99"/>
      <c r="G17" s="125"/>
    </row>
    <row r="18" spans="2:7" x14ac:dyDescent="0.25">
      <c r="B18" s="125"/>
      <c r="C18" s="100" t="s">
        <v>353</v>
      </c>
      <c r="D18" s="98"/>
      <c r="E18" s="99" t="s">
        <v>354</v>
      </c>
      <c r="F18" s="99">
        <v>7884</v>
      </c>
      <c r="G18" s="125"/>
    </row>
    <row r="19" spans="2:7" x14ac:dyDescent="0.25">
      <c r="B19" s="125"/>
      <c r="C19" s="100" t="s">
        <v>26</v>
      </c>
      <c r="D19" s="98"/>
      <c r="E19" s="99" t="s">
        <v>209</v>
      </c>
      <c r="F19" s="128">
        <f>F9*F5*60/7000</f>
        <v>1.8857142857142857</v>
      </c>
      <c r="G19" s="125"/>
    </row>
    <row r="20" spans="2:7" x14ac:dyDescent="0.25">
      <c r="B20" s="125"/>
      <c r="C20" s="97"/>
      <c r="D20" s="98"/>
      <c r="E20" s="99" t="s">
        <v>210</v>
      </c>
      <c r="F20" s="128">
        <f>F19*F18/2000</f>
        <v>7.4334857142857143</v>
      </c>
      <c r="G20" s="125"/>
    </row>
    <row r="21" spans="2:7" x14ac:dyDescent="0.25">
      <c r="B21" s="125"/>
      <c r="C21" s="97"/>
      <c r="D21" s="98"/>
      <c r="E21" s="99"/>
      <c r="F21" s="113"/>
      <c r="G21" s="125"/>
    </row>
    <row r="22" spans="2:7" ht="18" x14ac:dyDescent="0.35">
      <c r="B22" s="125"/>
      <c r="C22" s="100" t="s">
        <v>211</v>
      </c>
      <c r="D22" s="98"/>
      <c r="E22" s="99" t="s">
        <v>209</v>
      </c>
      <c r="F22" s="113">
        <f>F19*F13/F12</f>
        <v>0.30476190476190473</v>
      </c>
      <c r="G22" s="125"/>
    </row>
    <row r="23" spans="2:7" x14ac:dyDescent="0.25">
      <c r="B23" s="125"/>
      <c r="C23" s="141" t="s">
        <v>326</v>
      </c>
      <c r="D23" s="98"/>
      <c r="E23" s="99" t="s">
        <v>210</v>
      </c>
      <c r="F23" s="113">
        <f>F20*F13/F12</f>
        <v>1.2013714285714285</v>
      </c>
      <c r="G23" s="125"/>
    </row>
    <row r="24" spans="2:7" x14ac:dyDescent="0.25">
      <c r="B24" s="125"/>
      <c r="C24" s="97"/>
      <c r="D24" s="98"/>
      <c r="E24" s="99"/>
      <c r="F24" s="113"/>
      <c r="G24" s="125"/>
    </row>
    <row r="25" spans="2:7" ht="18" x14ac:dyDescent="0.35">
      <c r="B25" s="125"/>
      <c r="C25" s="100" t="s">
        <v>212</v>
      </c>
      <c r="D25" s="98"/>
      <c r="E25" s="99" t="s">
        <v>209</v>
      </c>
      <c r="F25" s="113">
        <f>F19*F14/F12</f>
        <v>0.11428571428571425</v>
      </c>
      <c r="G25" s="125"/>
    </row>
    <row r="26" spans="2:7" x14ac:dyDescent="0.25">
      <c r="B26" s="125"/>
      <c r="C26" s="142" t="s">
        <v>327</v>
      </c>
      <c r="D26" s="101"/>
      <c r="E26" s="102" t="s">
        <v>210</v>
      </c>
      <c r="F26" s="114">
        <f>F20*F14/F12</f>
        <v>0.4505142857142857</v>
      </c>
      <c r="G26" s="125"/>
    </row>
    <row r="27" spans="2:7" ht="18" customHeight="1" x14ac:dyDescent="0.25">
      <c r="B27" s="125"/>
      <c r="C27" s="215" t="s">
        <v>328</v>
      </c>
      <c r="D27" s="215"/>
      <c r="E27" s="215"/>
      <c r="F27" s="215"/>
      <c r="G27" s="125"/>
    </row>
    <row r="28" spans="2:7" ht="17.25" customHeight="1" x14ac:dyDescent="0.25">
      <c r="C28" s="216"/>
      <c r="D28" s="216"/>
      <c r="E28" s="216"/>
      <c r="F28" s="216"/>
    </row>
  </sheetData>
  <mergeCells count="3">
    <mergeCell ref="C3:D3"/>
    <mergeCell ref="C15:D17"/>
    <mergeCell ref="C27:F28"/>
  </mergeCells>
  <pageMargins left="0.7" right="0.7" top="0.75" bottom="0.75" header="0.3" footer="0.3"/>
  <pageSetup paperSiz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1 Summary PM</vt:lpstr>
      <vt:lpstr>Table 2 Stack Out</vt:lpstr>
      <vt:lpstr>Table 3 Reclaim and EU003truck</vt:lpstr>
      <vt:lpstr>Table 4 Material Handling Data</vt:lpstr>
      <vt:lpstr>Table 5 EU003 Calcs</vt:lpstr>
      <vt:lpstr>Sheet1</vt:lpstr>
      <vt:lpstr>'TABLE 1 Summary PM'!Print_Area</vt:lpstr>
      <vt:lpstr>'Table 2 Stack Out'!Print_Area</vt:lpstr>
      <vt:lpstr>'Table 3 Reclaim and EU003truck'!Print_Area</vt:lpstr>
      <vt:lpstr>'Table 4 Material Handling Data'!Print_Area</vt:lpstr>
      <vt:lpstr>'Table 5 EU003 Calcs'!Print_Area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Enwall</dc:creator>
  <cp:lastModifiedBy>Max Lee</cp:lastModifiedBy>
  <cp:lastPrinted>2015-02-10T20:46:24Z</cp:lastPrinted>
  <dcterms:created xsi:type="dcterms:W3CDTF">2014-04-17T14:49:04Z</dcterms:created>
  <dcterms:modified xsi:type="dcterms:W3CDTF">2015-03-13T15:18:16Z</dcterms:modified>
</cp:coreProperties>
</file>