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150" windowWidth="21585" windowHeight="9540" activeTab="1"/>
  </bookViews>
  <sheets>
    <sheet name="Executive Summary" sheetId="6" r:id="rId1"/>
    <sheet name="Smith 2 Run Summary" sheetId="1" r:id="rId2"/>
    <sheet name="Smith 2 Fuel Plus" sheetId="2" r:id="rId3"/>
    <sheet name="Smith 1 Run Summary" sheetId="3" r:id="rId4"/>
    <sheet name="Smith 1 Fuel Plus" sheetId="4" r:id="rId5"/>
    <sheet name="Hg Control Graph" sheetId="7" r:id="rId6"/>
    <sheet name="Sheet1" sheetId="8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X310" i="2" l="1"/>
  <c r="X326" i="2"/>
  <c r="X335" i="2"/>
  <c r="J163" i="2"/>
  <c r="U9" i="2"/>
  <c r="V9" i="4"/>
  <c r="AB9" i="2" l="1"/>
  <c r="J395" i="2" l="1"/>
  <c r="J387" i="2"/>
  <c r="X393" i="2"/>
  <c r="I392" i="2"/>
  <c r="H392" i="2"/>
  <c r="G392" i="2"/>
  <c r="F392" i="2"/>
  <c r="E392" i="2"/>
  <c r="J392" i="2" s="1"/>
  <c r="J378" i="2"/>
  <c r="X376" i="2"/>
  <c r="I375" i="2"/>
  <c r="H375" i="2"/>
  <c r="G375" i="2"/>
  <c r="F375" i="2"/>
  <c r="E375" i="2"/>
  <c r="X385" i="2"/>
  <c r="I384" i="2"/>
  <c r="H384" i="2"/>
  <c r="G384" i="2"/>
  <c r="F384" i="2"/>
  <c r="E384" i="2"/>
  <c r="X368" i="2"/>
  <c r="I367" i="2"/>
  <c r="H367" i="2"/>
  <c r="G367" i="2"/>
  <c r="F367" i="2"/>
  <c r="E367" i="2"/>
  <c r="X360" i="2"/>
  <c r="I359" i="2"/>
  <c r="H359" i="2"/>
  <c r="G359" i="2"/>
  <c r="F359" i="2"/>
  <c r="E359" i="2"/>
  <c r="X352" i="2"/>
  <c r="I351" i="2"/>
  <c r="H351" i="2"/>
  <c r="G351" i="2"/>
  <c r="F351" i="2"/>
  <c r="E351" i="2"/>
  <c r="X343" i="2"/>
  <c r="I342" i="2"/>
  <c r="H342" i="2"/>
  <c r="G342" i="2"/>
  <c r="F342" i="2"/>
  <c r="E342" i="2"/>
  <c r="I334" i="2"/>
  <c r="H334" i="2"/>
  <c r="G334" i="2"/>
  <c r="F334" i="2"/>
  <c r="E334" i="2"/>
  <c r="I325" i="2"/>
  <c r="H325" i="2"/>
  <c r="G325" i="2"/>
  <c r="F325" i="2"/>
  <c r="E325" i="2"/>
  <c r="X318" i="2"/>
  <c r="I317" i="2"/>
  <c r="H317" i="2"/>
  <c r="G317" i="2"/>
  <c r="F317" i="2"/>
  <c r="E317" i="2"/>
  <c r="I309" i="2"/>
  <c r="H309" i="2"/>
  <c r="G309" i="2"/>
  <c r="F309" i="2"/>
  <c r="E309" i="2"/>
  <c r="X302" i="2"/>
  <c r="I301" i="2"/>
  <c r="H301" i="2"/>
  <c r="G301" i="2"/>
  <c r="F301" i="2"/>
  <c r="E301" i="2"/>
  <c r="X293" i="2"/>
  <c r="I292" i="2"/>
  <c r="H292" i="2"/>
  <c r="G292" i="2"/>
  <c r="F292" i="2"/>
  <c r="E292" i="2"/>
  <c r="X285" i="2"/>
  <c r="I284" i="2"/>
  <c r="H284" i="2"/>
  <c r="G284" i="2"/>
  <c r="F284" i="2"/>
  <c r="E284" i="2"/>
  <c r="X277" i="2"/>
  <c r="I276" i="2"/>
  <c r="H276" i="2"/>
  <c r="G276" i="2"/>
  <c r="F276" i="2"/>
  <c r="E276" i="2"/>
  <c r="X269" i="2"/>
  <c r="I268" i="2"/>
  <c r="H268" i="2"/>
  <c r="G268" i="2"/>
  <c r="F268" i="2"/>
  <c r="E268" i="2"/>
  <c r="X261" i="2"/>
  <c r="I260" i="2"/>
  <c r="H260" i="2"/>
  <c r="G260" i="2"/>
  <c r="F260" i="2"/>
  <c r="E260" i="2"/>
  <c r="X252" i="2"/>
  <c r="I251" i="2"/>
  <c r="H251" i="2"/>
  <c r="G251" i="2"/>
  <c r="F251" i="2"/>
  <c r="E251" i="2"/>
  <c r="J251" i="2" s="1"/>
  <c r="J254" i="2" s="1"/>
  <c r="X244" i="2"/>
  <c r="I243" i="2"/>
  <c r="H243" i="2"/>
  <c r="G243" i="2"/>
  <c r="F243" i="2"/>
  <c r="E243" i="2"/>
  <c r="X236" i="2"/>
  <c r="I235" i="2"/>
  <c r="H235" i="2"/>
  <c r="G235" i="2"/>
  <c r="F235" i="2"/>
  <c r="E235" i="2"/>
  <c r="Z393" i="2" l="1"/>
  <c r="AA393" i="2" s="1"/>
  <c r="AB393" i="2" s="1"/>
  <c r="S393" i="2"/>
  <c r="T393" i="2" s="1"/>
  <c r="J394" i="2"/>
  <c r="J384" i="2"/>
  <c r="J342" i="2"/>
  <c r="J345" i="2" s="1"/>
  <c r="J375" i="2"/>
  <c r="J367" i="2"/>
  <c r="J370" i="2" s="1"/>
  <c r="J359" i="2"/>
  <c r="J362" i="2" s="1"/>
  <c r="J351" i="2"/>
  <c r="Z343" i="2"/>
  <c r="AA343" i="2" s="1"/>
  <c r="S343" i="2"/>
  <c r="T343" i="2" s="1"/>
  <c r="J334" i="2"/>
  <c r="J337" i="2" s="1"/>
  <c r="J325" i="2"/>
  <c r="J328" i="2" s="1"/>
  <c r="J327" i="2"/>
  <c r="J317" i="2"/>
  <c r="J320" i="2" s="1"/>
  <c r="J309" i="2"/>
  <c r="J312" i="2" s="1"/>
  <c r="J301" i="2"/>
  <c r="J292" i="2"/>
  <c r="J284" i="2"/>
  <c r="J287" i="2" s="1"/>
  <c r="J276" i="2"/>
  <c r="J279" i="2" s="1"/>
  <c r="J268" i="2"/>
  <c r="J260" i="2"/>
  <c r="J263" i="2" s="1"/>
  <c r="Z252" i="2"/>
  <c r="AA252" i="2" s="1"/>
  <c r="S252" i="2"/>
  <c r="T252" i="2" s="1"/>
  <c r="J253" i="2"/>
  <c r="J243" i="2"/>
  <c r="J235" i="2"/>
  <c r="X227" i="2"/>
  <c r="I226" i="2"/>
  <c r="H226" i="2"/>
  <c r="G226" i="2"/>
  <c r="F226" i="2"/>
  <c r="E226" i="2"/>
  <c r="X219" i="2"/>
  <c r="I218" i="2"/>
  <c r="H218" i="2"/>
  <c r="G218" i="2"/>
  <c r="F218" i="2"/>
  <c r="E218" i="2"/>
  <c r="X211" i="2"/>
  <c r="I210" i="2"/>
  <c r="H210" i="2"/>
  <c r="G210" i="2"/>
  <c r="F210" i="2"/>
  <c r="E210" i="2"/>
  <c r="X203" i="2"/>
  <c r="I202" i="2"/>
  <c r="H202" i="2"/>
  <c r="G202" i="2"/>
  <c r="F202" i="2"/>
  <c r="E202" i="2"/>
  <c r="X194" i="2"/>
  <c r="I193" i="2"/>
  <c r="H193" i="2"/>
  <c r="G193" i="2"/>
  <c r="F193" i="2"/>
  <c r="E193" i="2"/>
  <c r="X186" i="2"/>
  <c r="I185" i="2"/>
  <c r="H185" i="2"/>
  <c r="G185" i="2"/>
  <c r="F185" i="2"/>
  <c r="E185" i="2"/>
  <c r="X177" i="2"/>
  <c r="I176" i="2"/>
  <c r="H176" i="2"/>
  <c r="G176" i="2"/>
  <c r="F176" i="2"/>
  <c r="E176" i="2"/>
  <c r="X169" i="2"/>
  <c r="I168" i="2"/>
  <c r="H168" i="2"/>
  <c r="G168" i="2"/>
  <c r="F168" i="2"/>
  <c r="E168" i="2"/>
  <c r="X161" i="2"/>
  <c r="I160" i="2"/>
  <c r="H160" i="2"/>
  <c r="G160" i="2"/>
  <c r="F160" i="2"/>
  <c r="E160" i="2"/>
  <c r="X152" i="2"/>
  <c r="I151" i="2"/>
  <c r="H151" i="2"/>
  <c r="G151" i="2"/>
  <c r="F151" i="2"/>
  <c r="E151" i="2"/>
  <c r="X143" i="2"/>
  <c r="I142" i="2"/>
  <c r="H142" i="2"/>
  <c r="G142" i="2"/>
  <c r="F142" i="2"/>
  <c r="E142" i="2"/>
  <c r="X135" i="2"/>
  <c r="I134" i="2"/>
  <c r="H134" i="2"/>
  <c r="G134" i="2"/>
  <c r="F134" i="2"/>
  <c r="E134" i="2"/>
  <c r="X127" i="2"/>
  <c r="I126" i="2"/>
  <c r="H126" i="2"/>
  <c r="G126" i="2"/>
  <c r="F126" i="2"/>
  <c r="E126" i="2"/>
  <c r="X118" i="2"/>
  <c r="I117" i="2"/>
  <c r="H117" i="2"/>
  <c r="G117" i="2"/>
  <c r="F117" i="2"/>
  <c r="E117" i="2"/>
  <c r="X110" i="2"/>
  <c r="I109" i="2"/>
  <c r="H109" i="2"/>
  <c r="G109" i="2"/>
  <c r="F109" i="2"/>
  <c r="E109" i="2"/>
  <c r="X102" i="2"/>
  <c r="I101" i="2"/>
  <c r="H101" i="2"/>
  <c r="G101" i="2"/>
  <c r="F101" i="2"/>
  <c r="E101" i="2"/>
  <c r="X93" i="2"/>
  <c r="I92" i="2"/>
  <c r="H92" i="2"/>
  <c r="G92" i="2"/>
  <c r="F92" i="2"/>
  <c r="E92" i="2"/>
  <c r="X85" i="2"/>
  <c r="I84" i="2"/>
  <c r="H84" i="2"/>
  <c r="G84" i="2"/>
  <c r="F84" i="2"/>
  <c r="E84" i="2"/>
  <c r="H75" i="2"/>
  <c r="X76" i="2"/>
  <c r="I75" i="2"/>
  <c r="G75" i="2"/>
  <c r="F75" i="2"/>
  <c r="E75" i="2"/>
  <c r="X68" i="2"/>
  <c r="I67" i="2"/>
  <c r="H67" i="2"/>
  <c r="G67" i="2"/>
  <c r="F67" i="2"/>
  <c r="E67" i="2"/>
  <c r="X60" i="2"/>
  <c r="I59" i="2"/>
  <c r="H59" i="2"/>
  <c r="G59" i="2"/>
  <c r="F59" i="2"/>
  <c r="E59" i="2"/>
  <c r="E50" i="2"/>
  <c r="X51" i="2"/>
  <c r="I50" i="2"/>
  <c r="H50" i="2"/>
  <c r="G50" i="2"/>
  <c r="F50" i="2"/>
  <c r="V65" i="4"/>
  <c r="I64" i="4"/>
  <c r="H64" i="4"/>
  <c r="G64" i="4"/>
  <c r="F64" i="4"/>
  <c r="E64" i="4"/>
  <c r="V57" i="4"/>
  <c r="I56" i="4"/>
  <c r="H56" i="4"/>
  <c r="G56" i="4"/>
  <c r="F56" i="4"/>
  <c r="E56" i="4"/>
  <c r="V49" i="4"/>
  <c r="I48" i="4"/>
  <c r="H48" i="4"/>
  <c r="G48" i="4"/>
  <c r="F48" i="4"/>
  <c r="E48" i="4"/>
  <c r="V41" i="4"/>
  <c r="I40" i="4"/>
  <c r="H40" i="4"/>
  <c r="G40" i="4"/>
  <c r="F40" i="4"/>
  <c r="E40" i="4"/>
  <c r="V33" i="4"/>
  <c r="I32" i="4"/>
  <c r="H32" i="4"/>
  <c r="G32" i="4"/>
  <c r="F32" i="4"/>
  <c r="E32" i="4"/>
  <c r="V25" i="4"/>
  <c r="I24" i="4"/>
  <c r="H24" i="4"/>
  <c r="G24" i="4"/>
  <c r="F24" i="4"/>
  <c r="E24" i="4"/>
  <c r="V17" i="4"/>
  <c r="I16" i="4"/>
  <c r="H16" i="4"/>
  <c r="G16" i="4"/>
  <c r="F16" i="4"/>
  <c r="E16" i="4"/>
  <c r="I8" i="4"/>
  <c r="H8" i="4"/>
  <c r="G8" i="4"/>
  <c r="F8" i="4"/>
  <c r="E8" i="4"/>
  <c r="J8" i="4" l="1"/>
  <c r="J10" i="4" s="1"/>
  <c r="S385" i="2"/>
  <c r="T385" i="2" s="1"/>
  <c r="U393" i="2"/>
  <c r="Z385" i="2"/>
  <c r="AA385" i="2" s="1"/>
  <c r="J386" i="2"/>
  <c r="J377" i="2"/>
  <c r="S376" i="2"/>
  <c r="T376" i="2" s="1"/>
  <c r="Z376" i="2"/>
  <c r="AA376" i="2" s="1"/>
  <c r="AB376" i="2" s="1"/>
  <c r="J245" i="2"/>
  <c r="J246" i="2"/>
  <c r="U343" i="2"/>
  <c r="J270" i="2"/>
  <c r="J271" i="2"/>
  <c r="S302" i="2"/>
  <c r="T302" i="2" s="1"/>
  <c r="J304" i="2"/>
  <c r="J311" i="2"/>
  <c r="J344" i="2"/>
  <c r="Z293" i="2"/>
  <c r="AA293" i="2" s="1"/>
  <c r="J295" i="2"/>
  <c r="Z236" i="2"/>
  <c r="AA236" i="2" s="1"/>
  <c r="J238" i="2"/>
  <c r="Z352" i="2"/>
  <c r="AA352" i="2" s="1"/>
  <c r="J354" i="2"/>
  <c r="J353" i="2"/>
  <c r="S368" i="2"/>
  <c r="T368" i="2" s="1"/>
  <c r="J369" i="2"/>
  <c r="Z368" i="2"/>
  <c r="AA368" i="2" s="1"/>
  <c r="J361" i="2"/>
  <c r="S360" i="2"/>
  <c r="T360" i="2" s="1"/>
  <c r="Z360" i="2"/>
  <c r="AA360" i="2" s="1"/>
  <c r="S352" i="2"/>
  <c r="T352" i="2" s="1"/>
  <c r="AB343" i="2"/>
  <c r="Z335" i="2"/>
  <c r="AA335" i="2" s="1"/>
  <c r="S335" i="2"/>
  <c r="T335" i="2" s="1"/>
  <c r="J336" i="2"/>
  <c r="Z326" i="2"/>
  <c r="AA326" i="2" s="1"/>
  <c r="AB326" i="2" s="1"/>
  <c r="S326" i="2"/>
  <c r="T326" i="2" s="1"/>
  <c r="U326" i="2" s="1"/>
  <c r="Z318" i="2"/>
  <c r="AA318" i="2" s="1"/>
  <c r="AB318" i="2" s="1"/>
  <c r="S318" i="2"/>
  <c r="T318" i="2" s="1"/>
  <c r="J319" i="2"/>
  <c r="S310" i="2"/>
  <c r="T310" i="2" s="1"/>
  <c r="Z310" i="2"/>
  <c r="AA310" i="2" s="1"/>
  <c r="Z302" i="2"/>
  <c r="AA302" i="2" s="1"/>
  <c r="J303" i="2"/>
  <c r="J294" i="2"/>
  <c r="S293" i="2"/>
  <c r="T293" i="2" s="1"/>
  <c r="J286" i="2"/>
  <c r="S285" i="2"/>
  <c r="T285" i="2" s="1"/>
  <c r="Z285" i="2"/>
  <c r="AA285" i="2" s="1"/>
  <c r="J278" i="2"/>
  <c r="S277" i="2"/>
  <c r="T277" i="2" s="1"/>
  <c r="Z277" i="2"/>
  <c r="AA277" i="2" s="1"/>
  <c r="S269" i="2"/>
  <c r="T269" i="2" s="1"/>
  <c r="Z269" i="2"/>
  <c r="AA269" i="2" s="1"/>
  <c r="AB269" i="2" s="1"/>
  <c r="J262" i="2"/>
  <c r="S261" i="2"/>
  <c r="T261" i="2" s="1"/>
  <c r="Z261" i="2"/>
  <c r="AA261" i="2" s="1"/>
  <c r="U252" i="2"/>
  <c r="AB252" i="2"/>
  <c r="S244" i="2"/>
  <c r="T244" i="2" s="1"/>
  <c r="U244" i="2" s="1"/>
  <c r="Z244" i="2"/>
  <c r="AA244" i="2" s="1"/>
  <c r="AB244" i="2" s="1"/>
  <c r="J237" i="2"/>
  <c r="S236" i="2"/>
  <c r="T236" i="2" s="1"/>
  <c r="J226" i="2"/>
  <c r="J229" i="2" s="1"/>
  <c r="J228" i="2"/>
  <c r="S227" i="2"/>
  <c r="T227" i="2" s="1"/>
  <c r="U227" i="2" s="1"/>
  <c r="J218" i="2"/>
  <c r="Z219" i="2" s="1"/>
  <c r="AA219" i="2" s="1"/>
  <c r="J210" i="2"/>
  <c r="Z211" i="2"/>
  <c r="AA211" i="2" s="1"/>
  <c r="J202" i="2"/>
  <c r="Z203" i="2" s="1"/>
  <c r="AA203" i="2" s="1"/>
  <c r="J193" i="2"/>
  <c r="Z194" i="2"/>
  <c r="AA194" i="2" s="1"/>
  <c r="J185" i="2"/>
  <c r="J176" i="2"/>
  <c r="S177" i="2" s="1"/>
  <c r="T177" i="2" s="1"/>
  <c r="J168" i="2"/>
  <c r="Z169" i="2"/>
  <c r="AA169" i="2" s="1"/>
  <c r="J160" i="2"/>
  <c r="Z161" i="2" s="1"/>
  <c r="AA161" i="2" s="1"/>
  <c r="J151" i="2"/>
  <c r="Z152" i="2"/>
  <c r="AA152" i="2" s="1"/>
  <c r="J142" i="2"/>
  <c r="S143" i="2" s="1"/>
  <c r="T143" i="2" s="1"/>
  <c r="Z143" i="2"/>
  <c r="AA143" i="2" s="1"/>
  <c r="J144" i="2"/>
  <c r="J134" i="2"/>
  <c r="J137" i="2" s="1"/>
  <c r="S135" i="2"/>
  <c r="T135" i="2" s="1"/>
  <c r="J126" i="2"/>
  <c r="J117" i="2"/>
  <c r="Z118" i="2"/>
  <c r="AA118" i="2" s="1"/>
  <c r="J109" i="2"/>
  <c r="J101" i="2"/>
  <c r="Z102" i="2"/>
  <c r="AA102" i="2" s="1"/>
  <c r="J50" i="2"/>
  <c r="J53" i="2" s="1"/>
  <c r="J92" i="2"/>
  <c r="Z93" i="2" s="1"/>
  <c r="AA93" i="2" s="1"/>
  <c r="J84" i="2"/>
  <c r="Z85" i="2" s="1"/>
  <c r="AA85" i="2" s="1"/>
  <c r="J75" i="2"/>
  <c r="Z76" i="2" s="1"/>
  <c r="AA76" i="2" s="1"/>
  <c r="J67" i="2"/>
  <c r="Z68" i="2" s="1"/>
  <c r="AA68" i="2" s="1"/>
  <c r="J59" i="2"/>
  <c r="S60" i="2" s="1"/>
  <c r="T60" i="2" s="1"/>
  <c r="J64" i="4"/>
  <c r="W65" i="4" s="1"/>
  <c r="X65" i="4" s="1"/>
  <c r="J56" i="4"/>
  <c r="W57" i="4" s="1"/>
  <c r="X57" i="4" s="1"/>
  <c r="J48" i="4"/>
  <c r="W49" i="4" s="1"/>
  <c r="X49" i="4" s="1"/>
  <c r="J40" i="4"/>
  <c r="W41" i="4" s="1"/>
  <c r="X41" i="4" s="1"/>
  <c r="J32" i="4"/>
  <c r="W33" i="4" s="1"/>
  <c r="X33" i="4" s="1"/>
  <c r="J24" i="4"/>
  <c r="J16" i="4"/>
  <c r="S17" i="4"/>
  <c r="T17" i="4" s="1"/>
  <c r="S9" i="4"/>
  <c r="T9" i="4" s="1"/>
  <c r="I42" i="2"/>
  <c r="H42" i="2"/>
  <c r="X43" i="2"/>
  <c r="G42" i="2"/>
  <c r="F42" i="2"/>
  <c r="E42" i="2"/>
  <c r="X34" i="2"/>
  <c r="I33" i="2"/>
  <c r="H33" i="2"/>
  <c r="G33" i="2"/>
  <c r="F33" i="2"/>
  <c r="E33" i="2"/>
  <c r="X25" i="2"/>
  <c r="I24" i="2"/>
  <c r="H24" i="2"/>
  <c r="G24" i="2"/>
  <c r="F24" i="2"/>
  <c r="E24" i="2"/>
  <c r="X17" i="2"/>
  <c r="I16" i="2"/>
  <c r="H16" i="2"/>
  <c r="G16" i="2"/>
  <c r="F16" i="2"/>
  <c r="E16" i="2"/>
  <c r="X9" i="2"/>
  <c r="I8" i="2"/>
  <c r="H8" i="2"/>
  <c r="G8" i="2"/>
  <c r="F8" i="2"/>
  <c r="E8" i="2"/>
  <c r="W9" i="4" l="1"/>
  <c r="X9" i="4" s="1"/>
  <c r="Y9" i="4" s="1"/>
  <c r="J11" i="4"/>
  <c r="S33" i="4"/>
  <c r="T33" i="4" s="1"/>
  <c r="J35" i="4"/>
  <c r="S49" i="4"/>
  <c r="T49" i="4" s="1"/>
  <c r="J51" i="4"/>
  <c r="S65" i="4"/>
  <c r="T65" i="4" s="1"/>
  <c r="J67" i="4"/>
  <c r="W17" i="4"/>
  <c r="X17" i="4" s="1"/>
  <c r="J19" i="4"/>
  <c r="W25" i="4"/>
  <c r="X25" i="4" s="1"/>
  <c r="J27" i="4"/>
  <c r="S41" i="4"/>
  <c r="T41" i="4" s="1"/>
  <c r="J43" i="4"/>
  <c r="S57" i="4"/>
  <c r="T57" i="4" s="1"/>
  <c r="J59" i="4"/>
  <c r="AB236" i="2"/>
  <c r="AB352" i="2"/>
  <c r="U302" i="2"/>
  <c r="AB302" i="2"/>
  <c r="AB293" i="2"/>
  <c r="AB261" i="2"/>
  <c r="U385" i="2"/>
  <c r="AB385" i="2"/>
  <c r="U376" i="2"/>
  <c r="S110" i="2"/>
  <c r="T110" i="2" s="1"/>
  <c r="J112" i="2"/>
  <c r="S152" i="2"/>
  <c r="T152" i="2" s="1"/>
  <c r="J154" i="2"/>
  <c r="S194" i="2"/>
  <c r="T194" i="2" s="1"/>
  <c r="J196" i="2"/>
  <c r="U269" i="2"/>
  <c r="AB310" i="2"/>
  <c r="S51" i="2"/>
  <c r="T51" i="2" s="1"/>
  <c r="S102" i="2"/>
  <c r="T102" i="2" s="1"/>
  <c r="J104" i="2"/>
  <c r="S118" i="2"/>
  <c r="T118" i="2" s="1"/>
  <c r="J120" i="2"/>
  <c r="J136" i="2"/>
  <c r="U135" i="2" s="1"/>
  <c r="J145" i="2"/>
  <c r="AB277" i="2"/>
  <c r="U285" i="2"/>
  <c r="U310" i="2"/>
  <c r="S127" i="2"/>
  <c r="T127" i="2" s="1"/>
  <c r="J129" i="2"/>
  <c r="J52" i="2"/>
  <c r="AB143" i="2"/>
  <c r="S169" i="2"/>
  <c r="T169" i="2" s="1"/>
  <c r="J171" i="2"/>
  <c r="S211" i="2"/>
  <c r="T211" i="2" s="1"/>
  <c r="J213" i="2"/>
  <c r="Z110" i="2"/>
  <c r="AA110" i="2" s="1"/>
  <c r="Z127" i="2"/>
  <c r="AA127" i="2" s="1"/>
  <c r="U143" i="2"/>
  <c r="S161" i="2"/>
  <c r="T161" i="2" s="1"/>
  <c r="S186" i="2"/>
  <c r="T186" i="2" s="1"/>
  <c r="J188" i="2"/>
  <c r="S203" i="2"/>
  <c r="T203" i="2" s="1"/>
  <c r="J205" i="2"/>
  <c r="S219" i="2"/>
  <c r="T219" i="2" s="1"/>
  <c r="J221" i="2"/>
  <c r="AB360" i="2"/>
  <c r="U368" i="2"/>
  <c r="AB368" i="2"/>
  <c r="U360" i="2"/>
  <c r="U352" i="2"/>
  <c r="U335" i="2"/>
  <c r="AB335" i="2"/>
  <c r="U318" i="2"/>
  <c r="U293" i="2"/>
  <c r="AB285" i="2"/>
  <c r="U277" i="2"/>
  <c r="U261" i="2"/>
  <c r="U236" i="2"/>
  <c r="Z227" i="2"/>
  <c r="AA227" i="2" s="1"/>
  <c r="AB227" i="2" s="1"/>
  <c r="J220" i="2"/>
  <c r="AB219" i="2" s="1"/>
  <c r="J212" i="2"/>
  <c r="AB211" i="2" s="1"/>
  <c r="J204" i="2"/>
  <c r="AB203" i="2" s="1"/>
  <c r="J195" i="2"/>
  <c r="Z186" i="2"/>
  <c r="AA186" i="2" s="1"/>
  <c r="J187" i="2"/>
  <c r="AB186" i="2" s="1"/>
  <c r="J179" i="2"/>
  <c r="Z177" i="2"/>
  <c r="AA177" i="2" s="1"/>
  <c r="J178" i="2"/>
  <c r="J170" i="2"/>
  <c r="AB169" i="2" s="1"/>
  <c r="J162" i="2"/>
  <c r="AB161" i="2" s="1"/>
  <c r="J153" i="2"/>
  <c r="AB152" i="2" s="1"/>
  <c r="Z135" i="2"/>
  <c r="AA135" i="2" s="1"/>
  <c r="J128" i="2"/>
  <c r="AB127" i="2" s="1"/>
  <c r="J119" i="2"/>
  <c r="AB118" i="2" s="1"/>
  <c r="J111" i="2"/>
  <c r="J103" i="2"/>
  <c r="AB102" i="2" s="1"/>
  <c r="Z51" i="2"/>
  <c r="AA51" i="2" s="1"/>
  <c r="AB51" i="2" s="1"/>
  <c r="S68" i="2"/>
  <c r="T68" i="2" s="1"/>
  <c r="J70" i="2"/>
  <c r="S85" i="2"/>
  <c r="T85" i="2" s="1"/>
  <c r="J87" i="2"/>
  <c r="J61" i="2"/>
  <c r="U60" i="2" s="1"/>
  <c r="J62" i="2"/>
  <c r="S93" i="2"/>
  <c r="T93" i="2" s="1"/>
  <c r="J95" i="2"/>
  <c r="J94" i="2"/>
  <c r="J86" i="2"/>
  <c r="AB85" i="2" s="1"/>
  <c r="S76" i="2"/>
  <c r="T76" i="2" s="1"/>
  <c r="J78" i="2"/>
  <c r="J77" i="2"/>
  <c r="J69" i="2"/>
  <c r="AB68" i="2"/>
  <c r="Z60" i="2"/>
  <c r="AA60" i="2" s="1"/>
  <c r="U51" i="2"/>
  <c r="J66" i="4"/>
  <c r="J58" i="4"/>
  <c r="Y57" i="4" s="1"/>
  <c r="J50" i="4"/>
  <c r="J42" i="4"/>
  <c r="Y41" i="4" s="1"/>
  <c r="J34" i="4"/>
  <c r="S25" i="4"/>
  <c r="T25" i="4" s="1"/>
  <c r="J26" i="4"/>
  <c r="J18" i="4"/>
  <c r="U9" i="4"/>
  <c r="J42" i="2"/>
  <c r="J33" i="2"/>
  <c r="Z34" i="2" s="1"/>
  <c r="AA34" i="2" s="1"/>
  <c r="J8" i="2"/>
  <c r="Z9" i="2" s="1"/>
  <c r="AA9" i="2" s="1"/>
  <c r="J24" i="2"/>
  <c r="J27" i="2" s="1"/>
  <c r="J16" i="2"/>
  <c r="S9" i="2"/>
  <c r="T9" i="2" s="1"/>
  <c r="Y17" i="4" l="1"/>
  <c r="U49" i="4"/>
  <c r="U33" i="4"/>
  <c r="Y25" i="4"/>
  <c r="U41" i="4"/>
  <c r="U65" i="4"/>
  <c r="U57" i="4"/>
  <c r="U17" i="4"/>
  <c r="Y33" i="4"/>
  <c r="Y49" i="4"/>
  <c r="Y65" i="4"/>
  <c r="U194" i="2"/>
  <c r="U93" i="2"/>
  <c r="AB60" i="2"/>
  <c r="AB135" i="2"/>
  <c r="J10" i="2"/>
  <c r="AB110" i="2"/>
  <c r="AB194" i="2"/>
  <c r="U219" i="2"/>
  <c r="U211" i="2"/>
  <c r="U203" i="2"/>
  <c r="U186" i="2"/>
  <c r="AB177" i="2"/>
  <c r="U177" i="2"/>
  <c r="U169" i="2"/>
  <c r="U161" i="2"/>
  <c r="U152" i="2"/>
  <c r="U127" i="2"/>
  <c r="U118" i="2"/>
  <c r="U110" i="2"/>
  <c r="U102" i="2"/>
  <c r="U85" i="2"/>
  <c r="AB93" i="2"/>
  <c r="U68" i="2"/>
  <c r="U76" i="2"/>
  <c r="AB76" i="2"/>
  <c r="J11" i="2"/>
  <c r="S34" i="2"/>
  <c r="T34" i="2" s="1"/>
  <c r="J36" i="2"/>
  <c r="J35" i="2"/>
  <c r="AB34" i="2" s="1"/>
  <c r="U25" i="4"/>
  <c r="S43" i="2"/>
  <c r="T43" i="2" s="1"/>
  <c r="J45" i="2"/>
  <c r="Z43" i="2"/>
  <c r="AA43" i="2" s="1"/>
  <c r="J44" i="2"/>
  <c r="Z17" i="2"/>
  <c r="AA17" i="2" s="1"/>
  <c r="J19" i="2"/>
  <c r="J26" i="2"/>
  <c r="S25" i="2"/>
  <c r="T25" i="2" s="1"/>
  <c r="Z25" i="2"/>
  <c r="AA25" i="2" s="1"/>
  <c r="J18" i="2"/>
  <c r="S17" i="2"/>
  <c r="T17" i="2" s="1"/>
  <c r="AB43" i="2" l="1"/>
  <c r="U43" i="2"/>
  <c r="U34" i="2"/>
  <c r="AB17" i="2"/>
  <c r="U25" i="2"/>
  <c r="AB25" i="2"/>
  <c r="U17" i="2"/>
</calcChain>
</file>

<file path=xl/comments1.xml><?xml version="1.0" encoding="utf-8"?>
<comments xmlns="http://schemas.openxmlformats.org/spreadsheetml/2006/main">
  <authors>
    <author>Waters, G. Dwain</author>
  </authors>
  <commentList>
    <comment ref="E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measured as 100lb flow
</t>
        </r>
      </text>
    </comment>
    <comment ref="F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measured as 100lb flow
</t>
        </r>
      </text>
    </comment>
    <comment ref="G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measured as 100lb flow
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measured as 100lb flow
</t>
        </r>
      </text>
    </comment>
    <comment ref="I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measured as 100lb flow
</t>
        </r>
      </text>
    </comment>
    <comment ref="K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F-factor Heat Input Calculated in Test Run</t>
        </r>
      </text>
    </comment>
    <comment ref="B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End Time</t>
        </r>
      </text>
    </comment>
    <comment ref="D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Unit Load</t>
        </r>
      </text>
    </comment>
    <comment ref="U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MATS HCl limit
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MATS HCl limit
</t>
        </r>
      </text>
    </comment>
    <comment ref="W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MATS HCl limit
</t>
        </r>
      </text>
    </comment>
    <comment ref="X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BART SO2 limit</t>
        </r>
      </text>
    </comment>
    <comment ref="Y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BART SO2 limit</t>
        </r>
      </text>
    </comment>
    <comment ref="AB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MATS Hg limit</t>
        </r>
      </text>
    </comment>
    <comment ref="AC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MATS Hg limit</t>
        </r>
      </text>
    </comment>
    <comment ref="AD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MATS Hg limit</t>
        </r>
      </text>
    </comment>
    <comment ref="D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total as 100 lbs.</t>
        </r>
      </text>
    </comment>
    <comment ref="J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as 100lbs flow</t>
        </r>
      </text>
    </comment>
    <comment ref="O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T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Cl to HCl conversation is 1.02843 factor</t>
        </r>
      </text>
    </comment>
    <comment ref="AC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J1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Coal mbtu/hr</t>
        </r>
      </text>
    </comment>
    <comment ref="O1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1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2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2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3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Waters, G. Dwain:</t>
        </r>
        <r>
          <rPr>
            <sz val="9"/>
            <color indexed="81"/>
            <rFont val="Tahoma"/>
            <family val="2"/>
          </rPr>
          <t xml:space="preserve">
GDW revised from 430831.  looks like typo
</t>
        </r>
      </text>
    </comment>
    <comment ref="AC4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5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60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6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7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D7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8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D8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9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10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110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11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12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12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13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13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14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14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15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16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16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17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18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18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19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19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20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20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21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21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21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21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22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22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23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24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25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26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26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26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26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27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27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28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28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29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29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30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30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310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310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31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31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32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32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33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33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O34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AC34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35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360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36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37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38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  <comment ref="AC39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Not Available</t>
        </r>
      </text>
    </comment>
  </commentList>
</comments>
</file>

<file path=xl/comments2.xml><?xml version="1.0" encoding="utf-8"?>
<comments xmlns="http://schemas.openxmlformats.org/spreadsheetml/2006/main">
  <authors>
    <author>Waters, G. Dwain</author>
  </authors>
  <commentList>
    <comment ref="E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measured as 100lb flow
</t>
        </r>
      </text>
    </comment>
    <comment ref="F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measured as 100lb flow
</t>
        </r>
      </text>
    </comment>
    <comment ref="G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measured as 100lb flow
</t>
        </r>
      </text>
    </comment>
    <comment ref="H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measured as 100lb flow
</t>
        </r>
      </text>
    </comment>
    <comment ref="I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measured as 100lb flow
</t>
        </r>
      </text>
    </comment>
    <comment ref="K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F-factor Heat Input Calculated in Test Run</t>
        </r>
      </text>
    </comment>
    <comment ref="B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End Time</t>
        </r>
      </text>
    </comment>
    <comment ref="D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Unit Load</t>
        </r>
      </text>
    </comment>
    <comment ref="U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MATS HCl limit
</t>
        </r>
      </text>
    </comment>
    <comment ref="Y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MATS Hg limit</t>
        </r>
      </text>
    </comment>
    <comment ref="D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total as 100 lbs.</t>
        </r>
      </text>
    </comment>
    <comment ref="J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as 100lbs flow</t>
        </r>
      </text>
    </comment>
    <comment ref="O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T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Cl to HCl conversation is 1.02843 factor</t>
        </r>
      </text>
    </comment>
    <comment ref="J1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Coal mbtu/hr</t>
        </r>
      </text>
    </comment>
    <comment ref="B1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End Time</t>
        </r>
      </text>
    </comment>
    <comment ref="D1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Unit Load</t>
        </r>
      </text>
    </comment>
    <comment ref="D1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total as 100 lbs.</t>
        </r>
      </text>
    </comment>
    <comment ref="J1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as 100lbs flow</t>
        </r>
      </text>
    </comment>
    <comment ref="O1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T1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Cl to HCl conversation is 1.02843 factor</t>
        </r>
      </text>
    </comment>
    <comment ref="J1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Coal mbtu/hr</t>
        </r>
      </text>
    </comment>
    <comment ref="B2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End Time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Unit Load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total as 100 lbs.</t>
        </r>
      </text>
    </comment>
    <comment ref="J2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as 100lbs flow</t>
        </r>
      </text>
    </comment>
    <comment ref="O2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T2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Cl to HCl conversation is 1.02843 factor</t>
        </r>
      </text>
    </comment>
    <comment ref="J2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Coal mbtu/hr</t>
        </r>
      </text>
    </comment>
    <comment ref="K2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F-factor Heat Input Calculated in Test Run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End Time</t>
        </r>
      </text>
    </comment>
    <comment ref="D30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Unit Load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total as 100 lbs.</t>
        </r>
      </text>
    </comment>
    <comment ref="J3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as 100lbs flow</t>
        </r>
      </text>
    </comment>
    <comment ref="O3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T3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Cl to HCl conversation is 1.02843 factor</t>
        </r>
      </text>
    </comment>
    <comment ref="J3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Coal mbtu/hr</t>
        </r>
      </text>
    </comment>
    <comment ref="K3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F-factor Heat Input Calculated in Test Run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End Time</t>
        </r>
      </text>
    </comment>
    <comment ref="D3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Unit Load</t>
        </r>
      </text>
    </comment>
    <comment ref="D40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total as 100 lbs.</t>
        </r>
      </text>
    </comment>
    <comment ref="J40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as 100lbs flow</t>
        </r>
      </text>
    </comment>
    <comment ref="O4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T4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Cl to HCl conversation is 1.02843 factor</t>
        </r>
      </text>
    </comment>
    <comment ref="J4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Coal mbtu/hr</t>
        </r>
      </text>
    </comment>
    <comment ref="K4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F-factor Heat Input Calculated in Test Run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End Time based on operator log;  different than actual stack test period. </t>
        </r>
      </text>
    </comment>
    <comment ref="D4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Unit Load</t>
        </r>
      </text>
    </comment>
    <comment ref="D4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total as 100 lbs.</t>
        </r>
      </text>
    </comment>
    <comment ref="J48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as 100lbs flow</t>
        </r>
      </text>
    </comment>
    <comment ref="O4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Default Cl MDL</t>
        </r>
      </text>
    </comment>
    <comment ref="T4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Cl to HCl conversation is 1.02843 factor</t>
        </r>
      </text>
    </comment>
    <comment ref="J5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Coal mbtu/hr</t>
        </r>
      </text>
    </comment>
    <comment ref="K53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F-factor Heat Input Calculated in Test Run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End Time based on operator log;  different than actual stack test period. </t>
        </r>
      </text>
    </comment>
    <comment ref="D5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Unit Load</t>
        </r>
      </text>
    </comment>
    <comment ref="D5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total as 100 lbs.</t>
        </r>
      </text>
    </comment>
    <comment ref="J56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as 100lbs flow</t>
        </r>
      </text>
    </comment>
    <comment ref="T5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Cl to HCl conversation is 1.02843 factor</t>
        </r>
      </text>
    </comment>
    <comment ref="J59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Coal mbtu/hr</t>
        </r>
      </text>
    </comment>
    <comment ref="K61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F-factor Heat Input Calculated in Test Run</t>
        </r>
      </text>
    </comment>
    <comment ref="B6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End Time
</t>
        </r>
      </text>
    </comment>
    <comment ref="D62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Unit Load</t>
        </r>
      </text>
    </comment>
    <comment ref="D6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total as 100 lbs.</t>
        </r>
      </text>
    </comment>
    <comment ref="J64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as 100lbs flow</t>
        </r>
      </text>
    </comment>
    <comment ref="T65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Cl to HCl conversation is 1.02843 factor</t>
        </r>
      </text>
    </comment>
    <comment ref="J67" authorId="0">
      <text>
        <r>
          <rPr>
            <b/>
            <sz val="9"/>
            <color indexed="8"/>
            <rFont val="Tahoma"/>
            <family val="2"/>
          </rPr>
          <t>Waters, G. Dwain:</t>
        </r>
        <r>
          <rPr>
            <sz val="9"/>
            <color indexed="8"/>
            <rFont val="Tahoma"/>
            <family val="2"/>
          </rPr>
          <t xml:space="preserve">
Coal mbtu/hr</t>
        </r>
      </text>
    </comment>
  </commentList>
</comments>
</file>

<file path=xl/sharedStrings.xml><?xml version="1.0" encoding="utf-8"?>
<sst xmlns="http://schemas.openxmlformats.org/spreadsheetml/2006/main" count="1063" uniqueCount="333">
  <si>
    <t>Date</t>
  </si>
  <si>
    <t>Run #</t>
  </si>
  <si>
    <t>Start</t>
  </si>
  <si>
    <t>End</t>
  </si>
  <si>
    <t>Load</t>
  </si>
  <si>
    <t>Description</t>
  </si>
  <si>
    <t>Inlet hot ESP PM</t>
  </si>
  <si>
    <t>Hg at 60 lb/hr BASF</t>
  </si>
  <si>
    <t>Opacity</t>
  </si>
  <si>
    <t>Hg at 100 lb/hr BASF</t>
  </si>
  <si>
    <t>Comments</t>
  </si>
  <si>
    <t>Cancelled due to unit problem</t>
  </si>
  <si>
    <t>Hg</t>
  </si>
  <si>
    <t>Hg at 400 lb/hr BASF</t>
  </si>
  <si>
    <t>180-195</t>
  </si>
  <si>
    <t>Hg at 200 lb/hr BASF</t>
  </si>
  <si>
    <t>High opacity 31% CAM</t>
  </si>
  <si>
    <t>Stopped due to 29% CAM</t>
  </si>
  <si>
    <t>PM baseline; no injection</t>
  </si>
  <si>
    <t>Baseline PM oulet</t>
  </si>
  <si>
    <t>PM outlet @ 300 lb/hr BASF</t>
  </si>
  <si>
    <t>SNCR off due to urea shortage</t>
  </si>
  <si>
    <t>Hg at 350 lb/hr BASF</t>
  </si>
  <si>
    <t>PM outlet @Hg at 350 lb/hr BASF</t>
  </si>
  <si>
    <t>Hg @ 200 lb/hr Norit</t>
  </si>
  <si>
    <t>Injection Skid Failure noted; bad run</t>
  </si>
  <si>
    <t>PM + Hg@ 200 lb/hr Norit</t>
  </si>
  <si>
    <t>Stopped run at 1140 due to B mill problem</t>
  </si>
  <si>
    <t>Stopped run due to Skid issue</t>
  </si>
  <si>
    <t>Hg @ 300 lb/hr Norit</t>
  </si>
  <si>
    <t>CEM Hg @ 8 down to ~1.2 during run</t>
  </si>
  <si>
    <t>PM + Hg@ 300 lb/hr Norit</t>
  </si>
  <si>
    <t>Preliminary PM @ 0.29 lb/mmbtu</t>
  </si>
  <si>
    <t>PM + Hg @ 300 lb/hr BASF</t>
  </si>
  <si>
    <t>opacity before injection @ 7%</t>
  </si>
  <si>
    <t>PM + Hg Baseline ; No Injection</t>
  </si>
  <si>
    <t>HCl Baseline Run</t>
  </si>
  <si>
    <t>Baseline PM + Wet Hg Baseline</t>
  </si>
  <si>
    <t>Baseline Wet HCl</t>
  </si>
  <si>
    <t>85-96</t>
  </si>
  <si>
    <t>PM + Hg Wet @ 100 lb/hr BASF</t>
  </si>
  <si>
    <t>6% opacity before injection</t>
  </si>
  <si>
    <t>Hg @ 250 lb/hr BASF</t>
  </si>
  <si>
    <t>PM wet @ 250 lb/hr BASF</t>
  </si>
  <si>
    <t>Hg Wet Run</t>
  </si>
  <si>
    <t>PM Wet Run</t>
  </si>
  <si>
    <t>PM + Hg Wet @ 250 lb/hr BASF</t>
  </si>
  <si>
    <t>PM and Hg Wet Run</t>
  </si>
  <si>
    <t>PM +  Hg Wet @ 325 lb/hr BASF</t>
  </si>
  <si>
    <t>Hg @ 400 lb/hr BASF</t>
  </si>
  <si>
    <t>Hg CEMs only</t>
  </si>
  <si>
    <t>Hg CEMs only; opacity high</t>
  </si>
  <si>
    <t>Hg @ 100 lb/hr BASF</t>
  </si>
  <si>
    <t>Opacity spike (60%) at 9:50</t>
  </si>
  <si>
    <t>Hg @ 300 lb/hr BASF</t>
  </si>
  <si>
    <t>Hg @ 325 lb/hr BASF</t>
  </si>
  <si>
    <t>Hg CEMs only;  actual injection @ 316 lb/hr</t>
  </si>
  <si>
    <t>Hg @ 200 lb/hr BASF</t>
  </si>
  <si>
    <t>31A</t>
  </si>
  <si>
    <t>30A</t>
  </si>
  <si>
    <t>Hg CEMs only;  decision not for 195 due to results at 170</t>
  </si>
  <si>
    <t>22B</t>
  </si>
  <si>
    <t>22A</t>
  </si>
  <si>
    <t>30B</t>
  </si>
  <si>
    <t>31B</t>
  </si>
  <si>
    <t>2A</t>
  </si>
  <si>
    <t>2B</t>
  </si>
  <si>
    <t>1A</t>
  </si>
  <si>
    <t>1B</t>
  </si>
  <si>
    <t>4A</t>
  </si>
  <si>
    <t>4B</t>
  </si>
  <si>
    <t>Inlet Hot ESP PM Baseline</t>
  </si>
  <si>
    <t xml:space="preserve">                 Calculated </t>
  </si>
  <si>
    <t xml:space="preserve">   Measured</t>
  </si>
  <si>
    <t xml:space="preserve">       Measured</t>
  </si>
  <si>
    <t xml:space="preserve">      HCL Inlet Emissions by Fuel Usage</t>
  </si>
  <si>
    <t>Sanders Results</t>
  </si>
  <si>
    <t xml:space="preserve">  SO2 Inlet to Stack Exit</t>
  </si>
  <si>
    <t xml:space="preserve">      Hg Inlet Emissions by Fuel Usage</t>
  </si>
  <si>
    <t xml:space="preserve">Unit 2 </t>
  </si>
  <si>
    <t>Unit 2</t>
  </si>
  <si>
    <t>Total</t>
  </si>
  <si>
    <t>Unit 2 Method 26</t>
  </si>
  <si>
    <t>Fuel</t>
  </si>
  <si>
    <t>CEM</t>
  </si>
  <si>
    <t>Total Stack</t>
  </si>
  <si>
    <t xml:space="preserve">Mill </t>
  </si>
  <si>
    <t>Fuel  Based</t>
  </si>
  <si>
    <t>Sanders</t>
  </si>
  <si>
    <t>Fuel Lab</t>
  </si>
  <si>
    <t>Sulfur</t>
  </si>
  <si>
    <t>Cl</t>
  </si>
  <si>
    <t>Ash</t>
  </si>
  <si>
    <t>lbs</t>
  </si>
  <si>
    <t>HCL</t>
  </si>
  <si>
    <t>SO2</t>
  </si>
  <si>
    <t>2C</t>
  </si>
  <si>
    <t>2D</t>
  </si>
  <si>
    <t>2E</t>
  </si>
  <si>
    <t>Calculation</t>
  </si>
  <si>
    <t>HI lb/mmbtu</t>
  </si>
  <si>
    <t>Number</t>
  </si>
  <si>
    <t>percent</t>
  </si>
  <si>
    <t>ppm</t>
  </si>
  <si>
    <t>Coal/Run</t>
  </si>
  <si>
    <t>lbs/Run</t>
  </si>
  <si>
    <t>lb/mmbtu</t>
  </si>
  <si>
    <t>lb/tbtu</t>
  </si>
  <si>
    <t>Target Goal =</t>
  </si>
  <si>
    <t>Red indicates above compliance target limit</t>
  </si>
  <si>
    <t>Green indicates meets compliance target limit</t>
  </si>
  <si>
    <t>Delta =</t>
  </si>
  <si>
    <t xml:space="preserve">Coal mmbtu = </t>
  </si>
  <si>
    <t>NA</t>
  </si>
  <si>
    <t>mmbtu/run =</t>
  </si>
  <si>
    <t>mmbtu/hr =</t>
  </si>
  <si>
    <t>75 MW</t>
  </si>
  <si>
    <t>Run 17</t>
  </si>
  <si>
    <t>Run 18</t>
  </si>
  <si>
    <t>Run 19</t>
  </si>
  <si>
    <t>Run 20</t>
  </si>
  <si>
    <t>Run 21</t>
  </si>
  <si>
    <t>Run 22</t>
  </si>
  <si>
    <t>195 MW</t>
  </si>
  <si>
    <t>Run 23</t>
  </si>
  <si>
    <t>Run 24</t>
  </si>
  <si>
    <t>Run 27</t>
  </si>
  <si>
    <t>Run 30</t>
  </si>
  <si>
    <t>Run 31</t>
  </si>
  <si>
    <t>Run 32</t>
  </si>
  <si>
    <t>Run 34</t>
  </si>
  <si>
    <t>Run 35</t>
  </si>
  <si>
    <t>Run 36</t>
  </si>
  <si>
    <t>Run 37</t>
  </si>
  <si>
    <t>Run 38</t>
  </si>
  <si>
    <t>Run 1</t>
  </si>
  <si>
    <t>Run 3</t>
  </si>
  <si>
    <t>185 MW</t>
  </si>
  <si>
    <t>Run 4</t>
  </si>
  <si>
    <t>Run 7</t>
  </si>
  <si>
    <t>No Injection</t>
  </si>
  <si>
    <t>Baseline Run</t>
  </si>
  <si>
    <t>Run 9</t>
  </si>
  <si>
    <t>Run 11</t>
  </si>
  <si>
    <t>BASF Injection @ 300</t>
  </si>
  <si>
    <t>BASF Injection @ 350</t>
  </si>
  <si>
    <t>BASF Injection @ 60-100</t>
  </si>
  <si>
    <t>BASF Injection @ 400</t>
  </si>
  <si>
    <t>HCl @ 600 lb/hr HLI</t>
  </si>
  <si>
    <t>36B</t>
  </si>
  <si>
    <t>HCl CEM</t>
  </si>
  <si>
    <t>lb/Mbtu</t>
  </si>
  <si>
    <t>PM stack</t>
  </si>
  <si>
    <t>HCl @ 780 lb/hr HLI</t>
  </si>
  <si>
    <t>HCl @ 800 lb/hr HLI</t>
  </si>
  <si>
    <t xml:space="preserve">HCl Wet; Hg CEM </t>
  </si>
  <si>
    <t>HCl &amp; Hg CEMS only</t>
  </si>
  <si>
    <t>HCl @ 850 lb/hr HLI</t>
  </si>
  <si>
    <t xml:space="preserve">PM &amp; wet HCl; HCl &amp; Hg CEMS </t>
  </si>
  <si>
    <t>113 AGC</t>
  </si>
  <si>
    <t>Hg &amp; HCl CEMS only</t>
  </si>
  <si>
    <t>HL @ 850+ BASF @ 300 lb/hr</t>
  </si>
  <si>
    <t>HL @ 1000+ BASF @ 200 lb/hr</t>
  </si>
  <si>
    <t xml:space="preserve">BASF @ 200 + ADA 50 </t>
  </si>
  <si>
    <t xml:space="preserve">BASF @ 200 + ADA 100 </t>
  </si>
  <si>
    <t xml:space="preserve">BASF @ 150 + ADA 50 </t>
  </si>
  <si>
    <t>Unit 1</t>
  </si>
  <si>
    <t>Full Load Outlet Cold ESP PM Baseline</t>
  </si>
  <si>
    <t>Low Load Outlet Cold ESP PM Baseline</t>
  </si>
  <si>
    <t>Mid Load Inlet Hot ESP PM Baseline/Particle Sizing</t>
  </si>
  <si>
    <t>Mid Load Inlet Hot ESP PM Baseline/Grain Loading</t>
  </si>
  <si>
    <t>Full Load Inlet Hot ESP PM Baseline/Particle Sizing</t>
  </si>
  <si>
    <t>Full Load Inlet Hot ESP PM Baseline/Grain Loading</t>
  </si>
  <si>
    <t>Unit 1 Fuel Analysis Projections to Stack Measurement Comparisons (SO2, HCl, Hg)</t>
  </si>
  <si>
    <t>Unit 2 Fuel Analysis Projections to Stack Measurement Comparisons (SO2, HCl, Hg)</t>
  </si>
  <si>
    <t>1C</t>
  </si>
  <si>
    <t>1D</t>
  </si>
  <si>
    <t xml:space="preserve">Unit 1 </t>
  </si>
  <si>
    <t>Run 2</t>
  </si>
  <si>
    <t>Run 5</t>
  </si>
  <si>
    <t>Run 6</t>
  </si>
  <si>
    <t>PM Grain Loading</t>
  </si>
  <si>
    <t>Inlet Hot ESP</t>
  </si>
  <si>
    <t>Run 8</t>
  </si>
  <si>
    <t>SNCR off due to urea supply</t>
  </si>
  <si>
    <t>Run 13</t>
  </si>
  <si>
    <t>Norit Injection @ 200</t>
  </si>
  <si>
    <t>B mill issue at 1140</t>
  </si>
  <si>
    <t>Run 14</t>
  </si>
  <si>
    <t>Run 15</t>
  </si>
  <si>
    <t>Norit Injection @ 300</t>
  </si>
  <si>
    <t>196 MW</t>
  </si>
  <si>
    <t>Baseline No Injection</t>
  </si>
  <si>
    <t>85 MW</t>
  </si>
  <si>
    <t xml:space="preserve">BASF @ 100 </t>
  </si>
  <si>
    <t xml:space="preserve">BASF @ 250 </t>
  </si>
  <si>
    <t xml:space="preserve">BASF @ 325 </t>
  </si>
  <si>
    <t>Run 26</t>
  </si>
  <si>
    <t xml:space="preserve">BASF @ 300 </t>
  </si>
  <si>
    <t>BASF @ 200</t>
  </si>
  <si>
    <t xml:space="preserve">BASF @ 200 </t>
  </si>
  <si>
    <t>HL @ 600</t>
  </si>
  <si>
    <t>HL @ 780</t>
  </si>
  <si>
    <t>Run 39</t>
  </si>
  <si>
    <t>HL @ 850</t>
  </si>
  <si>
    <t>PM+Wet HCl</t>
  </si>
  <si>
    <t>Run 40</t>
  </si>
  <si>
    <t>Run 41</t>
  </si>
  <si>
    <t>HL @ 850 + Carbon @ 200</t>
  </si>
  <si>
    <t>Run 42</t>
  </si>
  <si>
    <t>Run 43</t>
  </si>
  <si>
    <t>Run 44</t>
  </si>
  <si>
    <t>HL @ 850 + Carbon @ 300</t>
  </si>
  <si>
    <t>Run 45</t>
  </si>
  <si>
    <t>Run 46</t>
  </si>
  <si>
    <t>HL @ 1000 + Carbon @ 300</t>
  </si>
  <si>
    <t>HL @ 1000 + Carbon @ 200</t>
  </si>
  <si>
    <t>Run 47</t>
  </si>
  <si>
    <t>HL @1000</t>
  </si>
  <si>
    <t>CEMS only</t>
  </si>
  <si>
    <t>Run 48</t>
  </si>
  <si>
    <t>HL @1500</t>
  </si>
  <si>
    <t>Run 49</t>
  </si>
  <si>
    <t>HL @2000</t>
  </si>
  <si>
    <t>Run 50</t>
  </si>
  <si>
    <t>HL @300</t>
  </si>
  <si>
    <t>Run 51</t>
  </si>
  <si>
    <t>BASF @ 200 + ADA @ 50</t>
  </si>
  <si>
    <t>Run 52</t>
  </si>
  <si>
    <t>BASF @ 200 + ADA @ 100</t>
  </si>
  <si>
    <t>Run 53</t>
  </si>
  <si>
    <t>BASF @ 150 + ADA @ 50</t>
  </si>
  <si>
    <t>Run 54</t>
  </si>
  <si>
    <t>Run 55</t>
  </si>
  <si>
    <t>BASF @ 200 + ADA @ 75</t>
  </si>
  <si>
    <t>Run 57</t>
  </si>
  <si>
    <t>Run 56</t>
  </si>
  <si>
    <t>BASF @ 250 + ADA @ 100</t>
  </si>
  <si>
    <t>BASF @ 200 + ADA @ 125</t>
  </si>
  <si>
    <t>Run 58</t>
  </si>
  <si>
    <t xml:space="preserve">BASF @ 200 + ADA 75 </t>
  </si>
  <si>
    <t xml:space="preserve">BASF @ 250 + ADA 100 </t>
  </si>
  <si>
    <t xml:space="preserve">BASF @ 200 + ADA 125 </t>
  </si>
  <si>
    <t>ADA @ 125</t>
  </si>
  <si>
    <t>PM + Hg CEMS</t>
  </si>
  <si>
    <t>AU01715</t>
  </si>
  <si>
    <t>Unit 2 Tiger</t>
  </si>
  <si>
    <t>AU02054</t>
  </si>
  <si>
    <t>AU02393</t>
  </si>
  <si>
    <t>AU02785</t>
  </si>
  <si>
    <t>AU03182</t>
  </si>
  <si>
    <t>AU0256</t>
  </si>
  <si>
    <t>AU02391</t>
  </si>
  <si>
    <t>AU02444</t>
  </si>
  <si>
    <t>AU02671</t>
  </si>
  <si>
    <t>AU02673</t>
  </si>
  <si>
    <t>AU02783</t>
  </si>
  <si>
    <t>Outlet</t>
  </si>
  <si>
    <t>PM 0.0084 lb/mbtu: below MATS</t>
  </si>
  <si>
    <t>PM 0.0085 lb/mbtu: below MATS</t>
  </si>
  <si>
    <t>PM 0.0087 lb/mbtu: below MATS</t>
  </si>
  <si>
    <t>PM 0.0072 lb/mbtu: below MATS</t>
  </si>
  <si>
    <t>PM 0.0094 lb/mbtu: below MATS</t>
  </si>
  <si>
    <t>SCS Results</t>
  </si>
  <si>
    <t>AU03003</t>
  </si>
  <si>
    <t>OOS</t>
  </si>
  <si>
    <t>Hg at 300 lb/hr BASF</t>
  </si>
  <si>
    <t>Hg @ 230 lb/hr HLI</t>
  </si>
  <si>
    <t>HL @ 850 lb/hr+ BASF @ 200 lb/hr</t>
  </si>
  <si>
    <t>HL @ 1000 lb/hr</t>
  </si>
  <si>
    <t xml:space="preserve">HL @ 1500 lb/hr </t>
  </si>
  <si>
    <t xml:space="preserve">HL @ 2000 lb/hr </t>
  </si>
  <si>
    <t>HL @ 250 lb/hr</t>
  </si>
  <si>
    <t>SCS CEMS</t>
  </si>
  <si>
    <t>Spectrum</t>
  </si>
  <si>
    <t>HCl Stack</t>
  </si>
  <si>
    <t>Hg CEMS</t>
  </si>
  <si>
    <t>Hg Stack</t>
  </si>
  <si>
    <t xml:space="preserve"> lb/Tbtus</t>
  </si>
  <si>
    <t>AU03180</t>
  </si>
  <si>
    <t>AU03184</t>
  </si>
  <si>
    <t>AU03186</t>
  </si>
  <si>
    <t>AU03406</t>
  </si>
  <si>
    <t>AU03408</t>
  </si>
  <si>
    <t>N/A</t>
  </si>
  <si>
    <t>3.13(no sorbent)</t>
  </si>
  <si>
    <t xml:space="preserve"> lb/Tbtu</t>
  </si>
  <si>
    <t>lb/Tbtu</t>
  </si>
  <si>
    <t>Inlet</t>
  </si>
  <si>
    <t>Hg Fuel</t>
  </si>
  <si>
    <t>???</t>
  </si>
  <si>
    <t>Inlet hot ESP PM Low Load</t>
  </si>
  <si>
    <t>Sorbent loss in run</t>
  </si>
  <si>
    <t>lb/ltbtu</t>
  </si>
  <si>
    <t>Hg M30B</t>
  </si>
  <si>
    <t>Spectrum  Results</t>
  </si>
  <si>
    <t>No DSI or ACI control Run</t>
  </si>
  <si>
    <t>No DSI or ACI control</t>
  </si>
  <si>
    <t>= denotes significant runs</t>
  </si>
  <si>
    <t>2013 Ultra-low Sulfur Fuel Data</t>
  </si>
  <si>
    <t>2014 Ultra-low Sulfur Fuel Data</t>
  </si>
  <si>
    <t>Initial ULS coal Baseline No Injection</t>
  </si>
  <si>
    <t>Ultra-Low Sulfur Coal 01/22/2014</t>
  </si>
  <si>
    <t>Ultra-Low Sulfur Coa 01/23/2014</t>
  </si>
  <si>
    <t>Ultra-Low Sulfur Coal 01/24/2014</t>
  </si>
  <si>
    <t>Ultra-Low Sulfur Coal 01/27/2014</t>
  </si>
  <si>
    <t>Ultra-Low Sulfur Coal 01/28/2014</t>
  </si>
  <si>
    <t>Ultra-Low Sulfur Coal 01/30/2014</t>
  </si>
  <si>
    <t>Ultra-Low Sulfur Coal 01/31/2014</t>
  </si>
  <si>
    <t>Ultra-Low Sulfur Coal 02/01/2014</t>
  </si>
  <si>
    <t>Ultra-Low Sulfur Coal 02/02/2014</t>
  </si>
  <si>
    <t>Ultra-Low Sulfur Coal 02/03/2014</t>
  </si>
  <si>
    <t>Ultra-Low Sulfur Coal 02/06/2014</t>
  </si>
  <si>
    <t>Ultra-Low Sulfur Coal 02/07/2014</t>
  </si>
  <si>
    <t>Ultra-Low Sulfur Coal 02/08/2014</t>
  </si>
  <si>
    <t>Ultra-Low Sulfur Coal 02/09/2014</t>
  </si>
  <si>
    <t>Ultra-Low Sulfur Coal 02/10/2014</t>
  </si>
  <si>
    <t>Ultra-Low Sulfur Coal 02/11/2014</t>
  </si>
  <si>
    <t>Baseline ULS Coal PM Outlet</t>
  </si>
  <si>
    <t>Baseline ULS Coal PM Inlet</t>
  </si>
  <si>
    <t>Ultra-Low Sulfur Coal 02/4/2014</t>
  </si>
  <si>
    <t>Ultra-Low Sulfur Coal 02/5/2014</t>
  </si>
  <si>
    <t>Ultra-Low Sulfur Coal 02/6/2014</t>
  </si>
  <si>
    <t>2014 Ultra-Low Sulfur Coal (No Sorbent Injection)</t>
  </si>
  <si>
    <t>lb/MBTU</t>
  </si>
  <si>
    <t xml:space="preserve">Smith Phase 2 Run Summary Worksheet  </t>
  </si>
  <si>
    <t xml:space="preserve">Smith Phase 2 Run Summary Worksheet </t>
  </si>
  <si>
    <t xml:space="preserve">Smith Sorbent Phase 2.2 Test Project </t>
  </si>
  <si>
    <t>Ultra-Low Sulfur Coal 01/21/2014</t>
  </si>
  <si>
    <t>Fuel Analysis @ lab detection level (default value)</t>
  </si>
  <si>
    <t>Significant baseline comparison values</t>
  </si>
  <si>
    <t>OOS= Out of Service</t>
  </si>
  <si>
    <t>ULS Coal Baseline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</si>
</sst>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000"/>
    <numFmt numFmtId="167" formatCode="0.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quotePrefix="1" applyAlignment="1">
      <alignment horizontal="right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0" fontId="5" fillId="0" borderId="4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10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4" fillId="0" borderId="0" xfId="0" quotePrefix="1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0" fontId="4" fillId="0" borderId="0" xfId="0" quotePrefix="1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0" fillId="2" borderId="0" xfId="0" applyFill="1"/>
    <xf numFmtId="0" fontId="18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167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quotePrefix="1" applyFill="1" applyAlignment="1">
      <alignment horizontal="right"/>
    </xf>
    <xf numFmtId="0" fontId="5" fillId="0" borderId="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7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/>
    <xf numFmtId="165" fontId="4" fillId="0" borderId="6" xfId="0" applyNumberFormat="1" applyFont="1" applyFill="1" applyBorder="1" applyAlignment="1" applyProtection="1">
      <alignment horizontal="center"/>
    </xf>
    <xf numFmtId="2" fontId="4" fillId="0" borderId="6" xfId="0" applyNumberFormat="1" applyFont="1" applyFill="1" applyBorder="1" applyAlignment="1" applyProtection="1">
      <alignment horizontal="center"/>
    </xf>
    <xf numFmtId="9" fontId="4" fillId="0" borderId="5" xfId="0" applyNumberFormat="1" applyFont="1" applyFill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center"/>
    </xf>
    <xf numFmtId="2" fontId="4" fillId="0" borderId="5" xfId="0" applyNumberFormat="1" applyFont="1" applyFill="1" applyBorder="1" applyAlignment="1" applyProtection="1">
      <alignment horizontal="center"/>
    </xf>
    <xf numFmtId="9" fontId="4" fillId="0" borderId="6" xfId="0" applyNumberFormat="1" applyFont="1" applyFill="1" applyBorder="1" applyAlignment="1" applyProtection="1"/>
    <xf numFmtId="164" fontId="4" fillId="0" borderId="8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6" xfId="0" applyBorder="1"/>
    <xf numFmtId="0" fontId="0" fillId="0" borderId="5" xfId="0" applyFont="1" applyBorder="1" applyAlignment="1">
      <alignment horizontal="center"/>
    </xf>
    <xf numFmtId="167" fontId="0" fillId="0" borderId="6" xfId="0" applyNumberFormat="1" applyBorder="1"/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0" fillId="0" borderId="0" xfId="0" applyBorder="1"/>
    <xf numFmtId="2" fontId="0" fillId="0" borderId="5" xfId="0" applyNumberFormat="1" applyFill="1" applyBorder="1"/>
    <xf numFmtId="2" fontId="1" fillId="0" borderId="5" xfId="0" applyNumberFormat="1" applyFont="1" applyFill="1" applyBorder="1"/>
    <xf numFmtId="2" fontId="0" fillId="0" borderId="5" xfId="0" applyNumberFormat="1" applyFill="1" applyBorder="1" applyAlignment="1">
      <alignment horizontal="center"/>
    </xf>
    <xf numFmtId="2" fontId="19" fillId="0" borderId="5" xfId="0" applyNumberFormat="1" applyFont="1" applyFill="1" applyBorder="1"/>
    <xf numFmtId="2" fontId="20" fillId="0" borderId="5" xfId="0" applyNumberFormat="1" applyFont="1" applyFill="1" applyBorder="1"/>
    <xf numFmtId="2" fontId="0" fillId="2" borderId="5" xfId="0" applyNumberFormat="1" applyFill="1" applyBorder="1"/>
    <xf numFmtId="0" fontId="0" fillId="0" borderId="5" xfId="0" applyFill="1" applyBorder="1"/>
    <xf numFmtId="2" fontId="0" fillId="0" borderId="5" xfId="0" applyNumberFormat="1" applyFont="1" applyFill="1" applyBorder="1"/>
    <xf numFmtId="164" fontId="0" fillId="0" borderId="6" xfId="0" applyNumberFormat="1" applyBorder="1"/>
    <xf numFmtId="0" fontId="0" fillId="2" borderId="0" xfId="0" applyFill="1" applyBorder="1"/>
    <xf numFmtId="164" fontId="0" fillId="2" borderId="6" xfId="0" applyNumberFormat="1" applyFill="1" applyBorder="1"/>
    <xf numFmtId="2" fontId="19" fillId="0" borderId="5" xfId="0" applyNumberFormat="1" applyFont="1" applyFill="1" applyBorder="1" applyAlignment="1">
      <alignment horizontal="right"/>
    </xf>
    <xf numFmtId="164" fontId="0" fillId="0" borderId="6" xfId="0" applyNumberFormat="1" applyFill="1" applyBorder="1"/>
    <xf numFmtId="2" fontId="0" fillId="0" borderId="8" xfId="0" applyNumberFormat="1" applyFill="1" applyBorder="1"/>
    <xf numFmtId="0" fontId="0" fillId="0" borderId="9" xfId="0" applyBorder="1"/>
    <xf numFmtId="164" fontId="0" fillId="0" borderId="10" xfId="0" applyNumberFormat="1" applyBorder="1"/>
    <xf numFmtId="0" fontId="0" fillId="0" borderId="5" xfId="0" applyBorder="1"/>
    <xf numFmtId="165" fontId="0" fillId="0" borderId="6" xfId="0" applyNumberFormat="1" applyBorder="1"/>
    <xf numFmtId="165" fontId="0" fillId="0" borderId="5" xfId="0" applyNumberFormat="1" applyBorder="1"/>
    <xf numFmtId="165" fontId="0" fillId="2" borderId="5" xfId="0" applyNumberFormat="1" applyFill="1" applyBorder="1"/>
    <xf numFmtId="165" fontId="0" fillId="2" borderId="6" xfId="0" applyNumberFormat="1" applyFill="1" applyBorder="1"/>
    <xf numFmtId="0" fontId="0" fillId="2" borderId="5" xfId="0" applyFill="1" applyBorder="1"/>
    <xf numFmtId="0" fontId="0" fillId="0" borderId="8" xfId="0" applyBorder="1"/>
    <xf numFmtId="0" fontId="1" fillId="2" borderId="0" xfId="0" applyFont="1" applyFill="1"/>
    <xf numFmtId="0" fontId="1" fillId="0" borderId="0" xfId="0" quotePrefix="1" applyFont="1" applyFill="1" applyBorder="1"/>
    <xf numFmtId="0" fontId="4" fillId="4" borderId="1" xfId="0" applyNumberFormat="1" applyFont="1" applyFill="1" applyBorder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/>
    </xf>
    <xf numFmtId="0" fontId="4" fillId="4" borderId="3" xfId="0" applyNumberFormat="1" applyFont="1" applyFill="1" applyBorder="1" applyAlignment="1" applyProtection="1">
      <alignment horizontal="center"/>
    </xf>
    <xf numFmtId="2" fontId="4" fillId="4" borderId="1" xfId="0" applyNumberFormat="1" applyFont="1" applyFill="1" applyBorder="1" applyAlignment="1" applyProtection="1">
      <alignment horizontal="center"/>
    </xf>
    <xf numFmtId="0" fontId="4" fillId="4" borderId="0" xfId="0" applyNumberFormat="1" applyFont="1" applyFill="1" applyBorder="1" applyAlignment="1" applyProtection="1"/>
    <xf numFmtId="2" fontId="4" fillId="4" borderId="5" xfId="0" applyNumberFormat="1" applyFont="1" applyFill="1" applyBorder="1" applyAlignment="1" applyProtection="1">
      <alignment horizontal="center"/>
    </xf>
    <xf numFmtId="2" fontId="4" fillId="4" borderId="6" xfId="0" applyNumberFormat="1" applyFont="1" applyFill="1" applyBorder="1" applyAlignment="1" applyProtection="1">
      <alignment horizontal="center"/>
    </xf>
    <xf numFmtId="0" fontId="4" fillId="4" borderId="6" xfId="0" applyNumberFormat="1" applyFont="1" applyFill="1" applyBorder="1" applyAlignment="1" applyProtection="1"/>
    <xf numFmtId="0" fontId="22" fillId="4" borderId="6" xfId="0" applyNumberFormat="1" applyFont="1" applyFill="1" applyBorder="1" applyAlignment="1" applyProtection="1"/>
    <xf numFmtId="0" fontId="4" fillId="4" borderId="6" xfId="0" applyNumberFormat="1" applyFont="1" applyFill="1" applyBorder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horizontal="center"/>
    </xf>
    <xf numFmtId="2" fontId="22" fillId="4" borderId="6" xfId="0" applyNumberFormat="1" applyFont="1" applyFill="1" applyBorder="1" applyAlignment="1" applyProtection="1">
      <alignment horizontal="center"/>
    </xf>
    <xf numFmtId="2" fontId="4" fillId="4" borderId="8" xfId="0" applyNumberFormat="1" applyFont="1" applyFill="1" applyBorder="1" applyAlignment="1" applyProtection="1">
      <alignment horizontal="center"/>
    </xf>
    <xf numFmtId="2" fontId="4" fillId="4" borderId="10" xfId="0" applyNumberFormat="1" applyFont="1" applyFill="1" applyBorder="1" applyAlignment="1" applyProtection="1">
      <alignment horizontal="center"/>
    </xf>
    <xf numFmtId="0" fontId="4" fillId="5" borderId="5" xfId="0" applyNumberFormat="1" applyFont="1" applyFill="1" applyBorder="1" applyAlignment="1" applyProtection="1">
      <alignment horizontal="center"/>
    </xf>
    <xf numFmtId="0" fontId="4" fillId="5" borderId="0" xfId="0" applyNumberFormat="1" applyFont="1" applyFill="1" applyBorder="1" applyAlignment="1" applyProtection="1"/>
    <xf numFmtId="166" fontId="4" fillId="5" borderId="5" xfId="0" applyNumberFormat="1" applyFont="1" applyFill="1" applyBorder="1" applyAlignment="1" applyProtection="1">
      <alignment horizontal="center"/>
    </xf>
    <xf numFmtId="0" fontId="4" fillId="5" borderId="6" xfId="0" applyNumberFormat="1" applyFont="1" applyFill="1" applyBorder="1" applyAlignment="1" applyProtection="1">
      <alignment horizontal="center"/>
    </xf>
    <xf numFmtId="0" fontId="4" fillId="5" borderId="0" xfId="0" applyNumberFormat="1" applyFont="1" applyFill="1" applyBorder="1" applyAlignment="1" applyProtection="1">
      <alignment horizontal="center"/>
    </xf>
    <xf numFmtId="0" fontId="4" fillId="5" borderId="8" xfId="0" applyNumberFormat="1" applyFont="1" applyFill="1" applyBorder="1" applyAlignment="1" applyProtection="1">
      <alignment horizontal="center"/>
    </xf>
    <xf numFmtId="0" fontId="4" fillId="5" borderId="9" xfId="0" applyNumberFormat="1" applyFont="1" applyFill="1" applyBorder="1" applyAlignment="1" applyProtection="1">
      <alignment horizontal="center"/>
    </xf>
    <xf numFmtId="0" fontId="4" fillId="5" borderId="6" xfId="0" applyNumberFormat="1" applyFont="1" applyFill="1" applyBorder="1" applyAlignment="1" applyProtection="1"/>
    <xf numFmtId="164" fontId="4" fillId="5" borderId="0" xfId="0" applyNumberFormat="1" applyFont="1" applyFill="1" applyBorder="1" applyAlignment="1" applyProtection="1">
      <alignment horizontal="center"/>
    </xf>
    <xf numFmtId="0" fontId="5" fillId="4" borderId="5" xfId="0" applyNumberFormat="1" applyFont="1" applyFill="1" applyBorder="1" applyAlignment="1" applyProtection="1">
      <alignment horizontal="center"/>
    </xf>
    <xf numFmtId="2" fontId="4" fillId="4" borderId="0" xfId="0" applyNumberFormat="1" applyFont="1" applyFill="1" applyBorder="1" applyAlignment="1" applyProtection="1">
      <alignment horizontal="center"/>
    </xf>
    <xf numFmtId="0" fontId="0" fillId="4" borderId="0" xfId="0" applyFill="1"/>
    <xf numFmtId="0" fontId="0" fillId="0" borderId="0" xfId="0" applyFill="1" applyAlignment="1">
      <alignment horizontal="center"/>
    </xf>
    <xf numFmtId="0" fontId="4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/>
    <xf numFmtId="2" fontId="4" fillId="6" borderId="5" xfId="0" applyNumberFormat="1" applyFont="1" applyFill="1" applyBorder="1" applyAlignment="1" applyProtection="1">
      <alignment horizontal="center"/>
    </xf>
    <xf numFmtId="2" fontId="4" fillId="6" borderId="6" xfId="0" applyNumberFormat="1" applyFont="1" applyFill="1" applyBorder="1" applyAlignment="1" applyProtection="1">
      <alignment horizontal="center"/>
    </xf>
    <xf numFmtId="0" fontId="4" fillId="6" borderId="0" xfId="0" applyNumberFormat="1" applyFont="1" applyFill="1" applyBorder="1" applyAlignment="1" applyProtection="1"/>
    <xf numFmtId="0" fontId="0" fillId="0" borderId="5" xfId="0" applyFill="1" applyBorder="1" applyAlignment="1">
      <alignment horizontal="center"/>
    </xf>
    <xf numFmtId="0" fontId="4" fillId="4" borderId="1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F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34575882032392"/>
          <c:y val="3.2634204114759216E-2"/>
          <c:w val="0.81925447539473029"/>
          <c:h val="0.8202321547113367"/>
        </c:manualLayout>
      </c:layout>
      <c:scatterChart>
        <c:scatterStyle val="lineMarker"/>
        <c:varyColors val="0"/>
        <c:ser>
          <c:idx val="0"/>
          <c:order val="0"/>
          <c:tx>
            <c:v>total sorbent</c:v>
          </c:tx>
          <c:spPr>
            <a:ln w="28575">
              <a:noFill/>
            </a:ln>
          </c:spPr>
          <c:xVal>
            <c:numRef>
              <c:f>'[1]Smith 2 Run Summary'!$L$85:$L$100</c:f>
              <c:numCache>
                <c:formatCode>General</c:formatCode>
                <c:ptCount val="16"/>
                <c:pt idx="0">
                  <c:v>250</c:v>
                </c:pt>
                <c:pt idx="1">
                  <c:v>300</c:v>
                </c:pt>
                <c:pt idx="2">
                  <c:v>200</c:v>
                </c:pt>
                <c:pt idx="3">
                  <c:v>250</c:v>
                </c:pt>
                <c:pt idx="4">
                  <c:v>275</c:v>
                </c:pt>
                <c:pt idx="5">
                  <c:v>350</c:v>
                </c:pt>
                <c:pt idx="6">
                  <c:v>300</c:v>
                </c:pt>
                <c:pt idx="7">
                  <c:v>325</c:v>
                </c:pt>
                <c:pt idx="8">
                  <c:v>125</c:v>
                </c:pt>
                <c:pt idx="13">
                  <c:v>300</c:v>
                </c:pt>
                <c:pt idx="14">
                  <c:v>325</c:v>
                </c:pt>
                <c:pt idx="15">
                  <c:v>400</c:v>
                </c:pt>
              </c:numCache>
            </c:numRef>
          </c:xVal>
          <c:yVal>
            <c:numRef>
              <c:f>'[1]Smith 2 Run Summary'!$N$85:$N$100</c:f>
              <c:numCache>
                <c:formatCode>General</c:formatCode>
                <c:ptCount val="16"/>
                <c:pt idx="0">
                  <c:v>1.44</c:v>
                </c:pt>
                <c:pt idx="1">
                  <c:v>0.98</c:v>
                </c:pt>
                <c:pt idx="2">
                  <c:v>1.71</c:v>
                </c:pt>
                <c:pt idx="3">
                  <c:v>1.65</c:v>
                </c:pt>
                <c:pt idx="4">
                  <c:v>1.63</c:v>
                </c:pt>
                <c:pt idx="5">
                  <c:v>1.24</c:v>
                </c:pt>
                <c:pt idx="6">
                  <c:v>1.2</c:v>
                </c:pt>
                <c:pt idx="7">
                  <c:v>0.79</c:v>
                </c:pt>
                <c:pt idx="8">
                  <c:v>1</c:v>
                </c:pt>
                <c:pt idx="13">
                  <c:v>1.41</c:v>
                </c:pt>
                <c:pt idx="14">
                  <c:v>1.37</c:v>
                </c:pt>
                <c:pt idx="15">
                  <c:v>1.34</c:v>
                </c:pt>
              </c:numCache>
            </c:numRef>
          </c:yVal>
          <c:smooth val="0"/>
        </c:ser>
        <c:ser>
          <c:idx val="1"/>
          <c:order val="1"/>
          <c:tx>
            <c:v>total carbon</c:v>
          </c:tx>
          <c:spPr>
            <a:ln w="28575">
              <a:noFill/>
            </a:ln>
          </c:spPr>
          <c:marker>
            <c:symbol val="circle"/>
            <c:size val="7"/>
          </c:marker>
          <c:xVal>
            <c:numRef>
              <c:f>'[1]Smith 2 Run Summary'!$M$85:$M$100</c:f>
              <c:numCache>
                <c:formatCode>General</c:formatCode>
                <c:ptCount val="16"/>
                <c:pt idx="0">
                  <c:v>90</c:v>
                </c:pt>
                <c:pt idx="1">
                  <c:v>140</c:v>
                </c:pt>
                <c:pt idx="2">
                  <c:v>80</c:v>
                </c:pt>
                <c:pt idx="3">
                  <c:v>90</c:v>
                </c:pt>
                <c:pt idx="4">
                  <c:v>115</c:v>
                </c:pt>
                <c:pt idx="5">
                  <c:v>150</c:v>
                </c:pt>
                <c:pt idx="6">
                  <c:v>140</c:v>
                </c:pt>
                <c:pt idx="7">
                  <c:v>165</c:v>
                </c:pt>
                <c:pt idx="8">
                  <c:v>125</c:v>
                </c:pt>
                <c:pt idx="13">
                  <c:v>60</c:v>
                </c:pt>
                <c:pt idx="14">
                  <c:v>65</c:v>
                </c:pt>
                <c:pt idx="15">
                  <c:v>80</c:v>
                </c:pt>
              </c:numCache>
            </c:numRef>
          </c:xVal>
          <c:yVal>
            <c:numRef>
              <c:f>'[1]Smith 2 Run Summary'!$N$85:$N$100</c:f>
              <c:numCache>
                <c:formatCode>General</c:formatCode>
                <c:ptCount val="16"/>
                <c:pt idx="0">
                  <c:v>1.44</c:v>
                </c:pt>
                <c:pt idx="1">
                  <c:v>0.98</c:v>
                </c:pt>
                <c:pt idx="2">
                  <c:v>1.71</c:v>
                </c:pt>
                <c:pt idx="3">
                  <c:v>1.65</c:v>
                </c:pt>
                <c:pt idx="4">
                  <c:v>1.63</c:v>
                </c:pt>
                <c:pt idx="5">
                  <c:v>1.24</c:v>
                </c:pt>
                <c:pt idx="6">
                  <c:v>1.2</c:v>
                </c:pt>
                <c:pt idx="7">
                  <c:v>0.79</c:v>
                </c:pt>
                <c:pt idx="8">
                  <c:v>1</c:v>
                </c:pt>
                <c:pt idx="13">
                  <c:v>1.41</c:v>
                </c:pt>
                <c:pt idx="14">
                  <c:v>1.37</c:v>
                </c:pt>
                <c:pt idx="15">
                  <c:v>1.34</c:v>
                </c:pt>
              </c:numCache>
            </c:numRef>
          </c:yVal>
          <c:smooth val="0"/>
        </c:ser>
        <c:ser>
          <c:idx val="2"/>
          <c:order val="2"/>
          <c:tx>
            <c:v>BASF + PAC, total carbon</c:v>
          </c:tx>
          <c:spPr>
            <a:ln w="28575">
              <a:noFill/>
            </a:ln>
          </c:spPr>
          <c:marker>
            <c:symbol val="x"/>
            <c:size val="15"/>
            <c:spPr>
              <a:ln>
                <a:solidFill>
                  <a:srgbClr val="C00000"/>
                </a:solidFill>
              </a:ln>
            </c:spPr>
          </c:marker>
          <c:xVal>
            <c:numRef>
              <c:f>'[1]Smith 2 Run Summary'!$M$85:$M$93</c:f>
              <c:numCache>
                <c:formatCode>General</c:formatCode>
                <c:ptCount val="9"/>
                <c:pt idx="0">
                  <c:v>90</c:v>
                </c:pt>
                <c:pt idx="1">
                  <c:v>140</c:v>
                </c:pt>
                <c:pt idx="2">
                  <c:v>80</c:v>
                </c:pt>
                <c:pt idx="3">
                  <c:v>90</c:v>
                </c:pt>
                <c:pt idx="4">
                  <c:v>115</c:v>
                </c:pt>
                <c:pt idx="5">
                  <c:v>150</c:v>
                </c:pt>
                <c:pt idx="6">
                  <c:v>140</c:v>
                </c:pt>
                <c:pt idx="7">
                  <c:v>165</c:v>
                </c:pt>
                <c:pt idx="8">
                  <c:v>125</c:v>
                </c:pt>
              </c:numCache>
            </c:numRef>
          </c:xVal>
          <c:yVal>
            <c:numRef>
              <c:f>'[1]Smith 2 Run Summary'!$N$85:$N$93</c:f>
              <c:numCache>
                <c:formatCode>General</c:formatCode>
                <c:ptCount val="9"/>
                <c:pt idx="0">
                  <c:v>1.44</c:v>
                </c:pt>
                <c:pt idx="1">
                  <c:v>0.98</c:v>
                </c:pt>
                <c:pt idx="2">
                  <c:v>1.71</c:v>
                </c:pt>
                <c:pt idx="3">
                  <c:v>1.65</c:v>
                </c:pt>
                <c:pt idx="4">
                  <c:v>1.63</c:v>
                </c:pt>
                <c:pt idx="5">
                  <c:v>1.24</c:v>
                </c:pt>
                <c:pt idx="6">
                  <c:v>1.2</c:v>
                </c:pt>
                <c:pt idx="7">
                  <c:v>0.79</c:v>
                </c:pt>
                <c:pt idx="8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BASF + PAC, total sorbent</c:v>
          </c:tx>
          <c:spPr>
            <a:ln w="28575">
              <a:noFill/>
            </a:ln>
          </c:spPr>
          <c:marker>
            <c:symbol val="x"/>
            <c:size val="12"/>
          </c:marker>
          <c:xVal>
            <c:numRef>
              <c:f>'[1]Smith 2 Run Summary'!$L$85:$L$93</c:f>
              <c:numCache>
                <c:formatCode>General</c:formatCode>
                <c:ptCount val="9"/>
                <c:pt idx="0">
                  <c:v>250</c:v>
                </c:pt>
                <c:pt idx="1">
                  <c:v>300</c:v>
                </c:pt>
                <c:pt idx="2">
                  <c:v>200</c:v>
                </c:pt>
                <c:pt idx="3">
                  <c:v>250</c:v>
                </c:pt>
                <c:pt idx="4">
                  <c:v>275</c:v>
                </c:pt>
                <c:pt idx="5">
                  <c:v>350</c:v>
                </c:pt>
                <c:pt idx="6">
                  <c:v>300</c:v>
                </c:pt>
                <c:pt idx="7">
                  <c:v>325</c:v>
                </c:pt>
                <c:pt idx="8">
                  <c:v>125</c:v>
                </c:pt>
              </c:numCache>
            </c:numRef>
          </c:xVal>
          <c:yVal>
            <c:numRef>
              <c:f>'[1]Smith 2 Run Summary'!$N$85:$N$93</c:f>
              <c:numCache>
                <c:formatCode>General</c:formatCode>
                <c:ptCount val="9"/>
                <c:pt idx="0">
                  <c:v>1.44</c:v>
                </c:pt>
                <c:pt idx="1">
                  <c:v>0.98</c:v>
                </c:pt>
                <c:pt idx="2">
                  <c:v>1.71</c:v>
                </c:pt>
                <c:pt idx="3">
                  <c:v>1.65</c:v>
                </c:pt>
                <c:pt idx="4">
                  <c:v>1.63</c:v>
                </c:pt>
                <c:pt idx="5">
                  <c:v>1.24</c:v>
                </c:pt>
                <c:pt idx="6">
                  <c:v>1.2</c:v>
                </c:pt>
                <c:pt idx="7">
                  <c:v>0.79</c:v>
                </c:pt>
                <c:pt idx="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06144"/>
        <c:axId val="178408064"/>
      </c:scatterChart>
      <c:valAx>
        <c:axId val="17840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injection rate (lb/h)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8408064"/>
        <c:crosses val="autoZero"/>
        <c:crossBetween val="midCat"/>
      </c:valAx>
      <c:valAx>
        <c:axId val="178408064"/>
        <c:scaling>
          <c:orientation val="minMax"/>
          <c:max val="2.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mercury emissions (lb/TBTU)</a:t>
                </a:r>
              </a:p>
            </c:rich>
          </c:tx>
          <c:layout>
            <c:manualLayout>
              <c:xMode val="edge"/>
              <c:yMode val="edge"/>
              <c:x val="2.9299952612517584E-3"/>
              <c:y val="0.1563675871906883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78406144"/>
        <c:crosses val="autoZero"/>
        <c:crossBetween val="midCat"/>
        <c:majorUnit val="0.4"/>
      </c:valAx>
    </c:plotArea>
    <c:legend>
      <c:legendPos val="r"/>
      <c:layout>
        <c:manualLayout>
          <c:xMode val="edge"/>
          <c:yMode val="edge"/>
          <c:x val="0.5514530238704638"/>
          <c:y val="8.6745007018091298E-3"/>
          <c:w val="0.43975699034578097"/>
          <c:h val="0.2743751165842089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542020</xdr:colOff>
      <xdr:row>39</xdr:row>
      <xdr:rowOff>27643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47620" cy="74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313372</xdr:colOff>
      <xdr:row>40</xdr:row>
      <xdr:rowOff>180001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628572" cy="7800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-portal.southernco.com/published/SCS-Legal-LitMatters/Shared%20Documents/Phase%202%20Air%20Test%20Results/Smith%20Phase%202.2%20Air%20Results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Chart1"/>
      <sheetName val="Smith 2 Run Summary"/>
      <sheetName val="Smith 2 Fuel Plus"/>
      <sheetName val="Smith 1 Run Summary"/>
      <sheetName val="Smith 1 Fuel Plus"/>
    </sheetNames>
    <sheetDataSet>
      <sheetData sheetId="0"/>
      <sheetData sheetId="1" refreshError="1"/>
      <sheetData sheetId="2">
        <row r="85">
          <cell r="L85">
            <v>250</v>
          </cell>
          <cell r="M85">
            <v>90</v>
          </cell>
          <cell r="N85">
            <v>1.44</v>
          </cell>
        </row>
        <row r="86">
          <cell r="L86">
            <v>300</v>
          </cell>
          <cell r="M86">
            <v>140</v>
          </cell>
          <cell r="N86">
            <v>0.98</v>
          </cell>
        </row>
        <row r="87">
          <cell r="L87">
            <v>200</v>
          </cell>
          <cell r="M87">
            <v>80</v>
          </cell>
          <cell r="N87">
            <v>1.71</v>
          </cell>
        </row>
        <row r="88">
          <cell r="L88">
            <v>250</v>
          </cell>
          <cell r="M88">
            <v>90</v>
          </cell>
          <cell r="N88">
            <v>1.65</v>
          </cell>
        </row>
        <row r="89">
          <cell r="L89">
            <v>275</v>
          </cell>
          <cell r="M89">
            <v>115</v>
          </cell>
          <cell r="N89">
            <v>1.63</v>
          </cell>
        </row>
        <row r="90">
          <cell r="L90">
            <v>350</v>
          </cell>
          <cell r="M90">
            <v>150</v>
          </cell>
          <cell r="N90">
            <v>1.24</v>
          </cell>
        </row>
        <row r="91">
          <cell r="L91">
            <v>300</v>
          </cell>
          <cell r="M91">
            <v>140</v>
          </cell>
          <cell r="N91">
            <v>1.2</v>
          </cell>
        </row>
        <row r="92">
          <cell r="L92">
            <v>325</v>
          </cell>
          <cell r="M92">
            <v>165</v>
          </cell>
          <cell r="N92">
            <v>0.79</v>
          </cell>
        </row>
        <row r="93">
          <cell r="L93">
            <v>125</v>
          </cell>
          <cell r="M93">
            <v>125</v>
          </cell>
          <cell r="N93">
            <v>1</v>
          </cell>
        </row>
        <row r="98">
          <cell r="L98">
            <v>300</v>
          </cell>
          <cell r="M98">
            <v>60</v>
          </cell>
          <cell r="N98">
            <v>1.41</v>
          </cell>
        </row>
        <row r="99">
          <cell r="L99">
            <v>325</v>
          </cell>
          <cell r="M99">
            <v>65</v>
          </cell>
          <cell r="N99">
            <v>1.37</v>
          </cell>
        </row>
        <row r="100">
          <cell r="L100">
            <v>400</v>
          </cell>
          <cell r="M100">
            <v>80</v>
          </cell>
          <cell r="N100">
            <v>1.34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defaultRowHeight="15" x14ac:dyDescent="0.25"/>
  <sheetData/>
  <sheetProtection password="C02E" sheet="1" objects="1" scenarios="1"/>
  <pageMargins left="0" right="0.2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tabSelected="1" workbookViewId="0">
      <selection activeCell="G84" sqref="G84"/>
    </sheetView>
  </sheetViews>
  <sheetFormatPr defaultRowHeight="15" x14ac:dyDescent="0.25"/>
  <cols>
    <col min="1" max="1" width="10.85546875" customWidth="1"/>
    <col min="6" max="6" width="3.42578125" customWidth="1"/>
    <col min="8" max="8" width="23.5703125" customWidth="1"/>
    <col min="9" max="9" width="1.5703125" customWidth="1"/>
    <col min="11" max="15" width="9.140625" style="51"/>
  </cols>
  <sheetData>
    <row r="1" spans="1:25" ht="23.25" x14ac:dyDescent="0.35">
      <c r="A1" s="3" t="s">
        <v>325</v>
      </c>
      <c r="B1" s="3"/>
      <c r="C1" s="3"/>
      <c r="D1" s="3"/>
    </row>
    <row r="2" spans="1:25" ht="22.5" customHeight="1" thickBot="1" x14ac:dyDescent="0.4">
      <c r="A2" s="3" t="s">
        <v>80</v>
      </c>
      <c r="B2" s="3"/>
      <c r="C2" s="3"/>
      <c r="D2" s="3"/>
    </row>
    <row r="3" spans="1:25" x14ac:dyDescent="0.25">
      <c r="A3" s="2" t="s">
        <v>0</v>
      </c>
      <c r="B3" s="2" t="s">
        <v>1</v>
      </c>
      <c r="C3" s="2" t="s">
        <v>4</v>
      </c>
      <c r="D3" s="2" t="s">
        <v>2</v>
      </c>
      <c r="E3" s="2" t="s">
        <v>3</v>
      </c>
      <c r="F3" s="2"/>
      <c r="G3" s="2" t="s">
        <v>5</v>
      </c>
      <c r="H3" s="2"/>
      <c r="J3" s="76" t="s">
        <v>8</v>
      </c>
      <c r="K3" s="77" t="s">
        <v>152</v>
      </c>
      <c r="L3" s="76" t="s">
        <v>276</v>
      </c>
      <c r="M3" s="90" t="s">
        <v>277</v>
      </c>
      <c r="N3" s="91" t="s">
        <v>289</v>
      </c>
      <c r="O3" s="76" t="s">
        <v>150</v>
      </c>
      <c r="P3" s="77" t="s">
        <v>275</v>
      </c>
      <c r="Q3" s="2" t="s">
        <v>10</v>
      </c>
    </row>
    <row r="4" spans="1:25" s="51" customFormat="1" x14ac:dyDescent="0.25">
      <c r="A4" s="52"/>
      <c r="B4" s="52"/>
      <c r="C4" s="52"/>
      <c r="D4" s="52"/>
      <c r="E4" s="52"/>
      <c r="F4" s="52"/>
      <c r="G4" s="52"/>
      <c r="H4" s="52"/>
      <c r="J4" s="78" t="s">
        <v>257</v>
      </c>
      <c r="K4" s="79" t="s">
        <v>151</v>
      </c>
      <c r="L4" s="78" t="s">
        <v>286</v>
      </c>
      <c r="M4" s="92" t="s">
        <v>278</v>
      </c>
      <c r="N4" s="93" t="s">
        <v>287</v>
      </c>
      <c r="O4" s="78" t="s">
        <v>151</v>
      </c>
      <c r="P4" s="79" t="s">
        <v>151</v>
      </c>
      <c r="Q4" s="119"/>
      <c r="R4" s="120" t="s">
        <v>298</v>
      </c>
    </row>
    <row r="5" spans="1:25" s="51" customFormat="1" x14ac:dyDescent="0.25">
      <c r="A5" s="52"/>
      <c r="B5" s="52"/>
      <c r="C5" s="52"/>
      <c r="D5" s="52"/>
      <c r="E5" s="52"/>
      <c r="F5" s="52"/>
      <c r="G5" s="52"/>
      <c r="H5" s="52"/>
      <c r="J5" s="78"/>
      <c r="K5" s="79" t="s">
        <v>88</v>
      </c>
      <c r="L5" s="94" t="s">
        <v>273</v>
      </c>
      <c r="M5" s="92" t="s">
        <v>88</v>
      </c>
      <c r="N5" s="93" t="s">
        <v>288</v>
      </c>
      <c r="O5" s="78" t="s">
        <v>274</v>
      </c>
      <c r="P5" s="79" t="s">
        <v>88</v>
      </c>
      <c r="Q5" s="52" t="s">
        <v>331</v>
      </c>
    </row>
    <row r="6" spans="1:25" x14ac:dyDescent="0.25">
      <c r="A6" s="45" t="s">
        <v>299</v>
      </c>
      <c r="B6" s="2"/>
      <c r="C6" s="2"/>
      <c r="D6" s="2"/>
      <c r="E6" s="2"/>
      <c r="F6" s="2"/>
      <c r="G6" s="2"/>
      <c r="H6" s="2"/>
      <c r="J6" s="78"/>
      <c r="K6" s="80"/>
      <c r="L6" s="94"/>
      <c r="M6" s="95"/>
      <c r="N6" s="80"/>
      <c r="O6" s="112"/>
      <c r="P6" s="80"/>
      <c r="V6" s="51"/>
      <c r="Y6" s="51"/>
    </row>
    <row r="7" spans="1:25" x14ac:dyDescent="0.25">
      <c r="A7" s="46">
        <v>41592</v>
      </c>
      <c r="B7" s="47">
        <v>1</v>
      </c>
      <c r="C7" s="47">
        <v>195</v>
      </c>
      <c r="D7" s="47">
        <v>1345</v>
      </c>
      <c r="E7" s="47">
        <v>1526</v>
      </c>
      <c r="F7" s="47"/>
      <c r="G7" s="48" t="s">
        <v>301</v>
      </c>
      <c r="H7" s="48"/>
      <c r="I7" s="48"/>
      <c r="J7" s="81">
        <v>8</v>
      </c>
      <c r="K7" s="82">
        <v>8.3999999999999995E-3</v>
      </c>
      <c r="L7" s="96"/>
      <c r="M7" s="95"/>
      <c r="N7" s="80"/>
      <c r="O7" s="112"/>
      <c r="P7" s="80"/>
      <c r="Q7" s="48" t="s">
        <v>258</v>
      </c>
      <c r="X7" s="50"/>
    </row>
    <row r="8" spans="1:25" x14ac:dyDescent="0.25">
      <c r="A8" s="48"/>
      <c r="B8" s="47">
        <v>2</v>
      </c>
      <c r="C8" s="47">
        <v>147</v>
      </c>
      <c r="D8" s="47">
        <v>1526</v>
      </c>
      <c r="E8" s="47">
        <v>1631</v>
      </c>
      <c r="F8" s="47"/>
      <c r="G8" s="48" t="s">
        <v>301</v>
      </c>
      <c r="H8" s="48"/>
      <c r="I8" s="48"/>
      <c r="J8" s="81">
        <v>8</v>
      </c>
      <c r="K8" s="82">
        <v>8.4999999999999995E-4</v>
      </c>
      <c r="L8" s="96"/>
      <c r="M8" s="95"/>
      <c r="N8" s="80"/>
      <c r="O8" s="112"/>
      <c r="P8" s="80"/>
      <c r="Q8" s="48" t="s">
        <v>259</v>
      </c>
      <c r="X8" s="50"/>
    </row>
    <row r="9" spans="1:25" x14ac:dyDescent="0.25">
      <c r="A9" s="46">
        <v>41593</v>
      </c>
      <c r="B9" s="47">
        <v>3</v>
      </c>
      <c r="C9" s="47">
        <v>188</v>
      </c>
      <c r="D9" s="47">
        <v>855</v>
      </c>
      <c r="E9" s="47">
        <v>1035</v>
      </c>
      <c r="F9" s="47"/>
      <c r="G9" s="48" t="s">
        <v>301</v>
      </c>
      <c r="H9" s="48"/>
      <c r="I9" s="48"/>
      <c r="J9" s="81">
        <v>8</v>
      </c>
      <c r="K9" s="82">
        <v>8.6999999999999994E-3</v>
      </c>
      <c r="L9" s="96"/>
      <c r="M9" s="95"/>
      <c r="N9" s="80"/>
      <c r="O9" s="112"/>
      <c r="P9" s="80"/>
      <c r="Q9" s="48" t="s">
        <v>260</v>
      </c>
      <c r="X9" s="50"/>
    </row>
    <row r="10" spans="1:25" x14ac:dyDescent="0.25">
      <c r="A10" s="48"/>
      <c r="B10" s="47">
        <v>4</v>
      </c>
      <c r="C10" s="47">
        <v>192</v>
      </c>
      <c r="D10" s="47">
        <v>1035</v>
      </c>
      <c r="E10" s="47">
        <v>1142</v>
      </c>
      <c r="F10" s="47"/>
      <c r="G10" s="48" t="s">
        <v>301</v>
      </c>
      <c r="H10" s="48"/>
      <c r="I10" s="48"/>
      <c r="J10" s="81">
        <v>8</v>
      </c>
      <c r="K10" s="82">
        <v>7.1999999999999998E-3</v>
      </c>
      <c r="L10" s="96"/>
      <c r="M10" s="95"/>
      <c r="N10" s="80"/>
      <c r="O10" s="112"/>
      <c r="P10" s="80"/>
      <c r="Q10" s="48" t="s">
        <v>261</v>
      </c>
      <c r="X10" s="50"/>
    </row>
    <row r="11" spans="1:25" x14ac:dyDescent="0.25">
      <c r="A11" s="48"/>
      <c r="B11" s="47">
        <v>5</v>
      </c>
      <c r="C11" s="47">
        <v>190</v>
      </c>
      <c r="D11" s="47">
        <v>1203</v>
      </c>
      <c r="E11" s="47">
        <v>1309</v>
      </c>
      <c r="F11" s="47"/>
      <c r="G11" s="48" t="s">
        <v>301</v>
      </c>
      <c r="H11" s="48"/>
      <c r="I11" s="48"/>
      <c r="J11" s="81">
        <v>8</v>
      </c>
      <c r="K11" s="82">
        <v>9.3999999999999997E-4</v>
      </c>
      <c r="L11" s="96"/>
      <c r="M11" s="95"/>
      <c r="N11" s="80"/>
      <c r="O11" s="112"/>
      <c r="P11" s="80"/>
      <c r="Q11" s="48" t="s">
        <v>262</v>
      </c>
      <c r="X11" s="50"/>
    </row>
    <row r="12" spans="1:25" x14ac:dyDescent="0.25">
      <c r="B12" s="49"/>
      <c r="C12" s="49"/>
      <c r="D12" s="49"/>
      <c r="E12" s="49"/>
      <c r="F12" s="49"/>
      <c r="G12" s="2"/>
      <c r="H12" s="2"/>
      <c r="J12" s="83"/>
      <c r="K12" s="80"/>
      <c r="L12" s="97"/>
      <c r="M12" s="95"/>
      <c r="N12" s="80"/>
      <c r="O12" s="112"/>
      <c r="P12" s="80"/>
    </row>
    <row r="13" spans="1:25" x14ac:dyDescent="0.25">
      <c r="A13" s="45" t="s">
        <v>300</v>
      </c>
      <c r="J13" s="84"/>
      <c r="K13" s="80"/>
      <c r="L13" s="96"/>
      <c r="M13" s="95"/>
      <c r="N13" s="80"/>
      <c r="O13" s="112"/>
      <c r="P13" s="80"/>
    </row>
    <row r="14" spans="1:25" x14ac:dyDescent="0.25">
      <c r="A14" s="1">
        <v>41660</v>
      </c>
      <c r="B14" s="4" t="s">
        <v>67</v>
      </c>
      <c r="C14">
        <v>75</v>
      </c>
      <c r="D14">
        <v>920</v>
      </c>
      <c r="E14">
        <v>1010</v>
      </c>
      <c r="G14" t="s">
        <v>291</v>
      </c>
      <c r="J14" s="84">
        <v>10</v>
      </c>
      <c r="K14" s="80"/>
      <c r="L14" s="98" t="s">
        <v>284</v>
      </c>
      <c r="M14" s="95"/>
      <c r="N14" s="80"/>
      <c r="O14" s="112"/>
      <c r="P14" s="80"/>
      <c r="Q14" t="s">
        <v>71</v>
      </c>
    </row>
    <row r="15" spans="1:25" x14ac:dyDescent="0.25">
      <c r="B15" s="4" t="s">
        <v>68</v>
      </c>
      <c r="C15">
        <v>75</v>
      </c>
      <c r="D15">
        <v>1200</v>
      </c>
      <c r="E15">
        <v>1245</v>
      </c>
      <c r="G15" t="s">
        <v>291</v>
      </c>
      <c r="J15" s="84">
        <v>11</v>
      </c>
      <c r="K15" s="80"/>
      <c r="L15" s="98" t="s">
        <v>284</v>
      </c>
      <c r="M15" s="95"/>
      <c r="N15" s="80"/>
      <c r="O15" s="112"/>
      <c r="P15" s="80"/>
      <c r="Q15" t="s">
        <v>71</v>
      </c>
    </row>
    <row r="16" spans="1:25" x14ac:dyDescent="0.25">
      <c r="B16" s="4" t="s">
        <v>65</v>
      </c>
      <c r="C16">
        <v>75</v>
      </c>
      <c r="D16">
        <v>1000</v>
      </c>
      <c r="E16">
        <v>1200</v>
      </c>
      <c r="G16" t="s">
        <v>7</v>
      </c>
      <c r="J16" s="84">
        <v>10</v>
      </c>
      <c r="K16" s="80"/>
      <c r="L16" s="96">
        <v>1.07</v>
      </c>
      <c r="M16" s="95"/>
      <c r="N16" s="80"/>
      <c r="O16" s="112"/>
      <c r="P16" s="80"/>
    </row>
    <row r="17" spans="1:17" x14ac:dyDescent="0.25">
      <c r="B17" s="4" t="s">
        <v>66</v>
      </c>
      <c r="C17">
        <v>75</v>
      </c>
      <c r="D17">
        <v>1200</v>
      </c>
      <c r="E17">
        <v>1250</v>
      </c>
      <c r="G17" t="s">
        <v>9</v>
      </c>
      <c r="J17" s="84">
        <v>10</v>
      </c>
      <c r="K17" s="80"/>
      <c r="L17" s="96">
        <v>0.56000000000000005</v>
      </c>
      <c r="M17" s="95"/>
      <c r="N17" s="80"/>
      <c r="O17" s="112"/>
      <c r="P17" s="80"/>
    </row>
    <row r="18" spans="1:17" x14ac:dyDescent="0.25">
      <c r="B18">
        <v>3</v>
      </c>
      <c r="C18">
        <v>185</v>
      </c>
      <c r="D18">
        <v>1510</v>
      </c>
      <c r="E18">
        <v>1800</v>
      </c>
      <c r="G18" t="s">
        <v>9</v>
      </c>
      <c r="J18" s="84">
        <v>17</v>
      </c>
      <c r="K18" s="80"/>
      <c r="L18" s="99">
        <v>2.64</v>
      </c>
      <c r="M18" s="95"/>
      <c r="N18" s="80"/>
      <c r="O18" s="112"/>
      <c r="P18" s="80"/>
      <c r="Q18" t="s">
        <v>11</v>
      </c>
    </row>
    <row r="19" spans="1:17" x14ac:dyDescent="0.25">
      <c r="A19" s="1">
        <v>41661</v>
      </c>
      <c r="B19" s="4" t="s">
        <v>69</v>
      </c>
      <c r="C19">
        <v>195</v>
      </c>
      <c r="D19">
        <v>840</v>
      </c>
      <c r="E19">
        <v>940</v>
      </c>
      <c r="G19" t="s">
        <v>6</v>
      </c>
      <c r="J19" s="84">
        <v>20</v>
      </c>
      <c r="K19" s="80"/>
      <c r="L19" s="96">
        <v>3.47</v>
      </c>
      <c r="M19" s="95"/>
      <c r="N19" s="80"/>
      <c r="O19" s="112"/>
      <c r="P19" s="80"/>
    </row>
    <row r="20" spans="1:17" x14ac:dyDescent="0.25">
      <c r="B20" s="4" t="s">
        <v>70</v>
      </c>
      <c r="C20">
        <v>195</v>
      </c>
      <c r="D20">
        <v>840</v>
      </c>
      <c r="E20">
        <v>1250</v>
      </c>
      <c r="G20" t="s">
        <v>13</v>
      </c>
      <c r="J20" s="84">
        <v>23</v>
      </c>
      <c r="K20" s="80"/>
      <c r="L20" s="96">
        <v>1.26</v>
      </c>
      <c r="M20" s="95"/>
      <c r="N20" s="80"/>
      <c r="O20" s="112"/>
      <c r="P20" s="80"/>
      <c r="Q20" t="s">
        <v>16</v>
      </c>
    </row>
    <row r="21" spans="1:17" x14ac:dyDescent="0.25">
      <c r="B21">
        <v>5</v>
      </c>
      <c r="C21" t="s">
        <v>14</v>
      </c>
      <c r="D21">
        <v>1325</v>
      </c>
      <c r="E21">
        <v>1420</v>
      </c>
      <c r="G21" t="s">
        <v>13</v>
      </c>
      <c r="J21" s="84">
        <v>23</v>
      </c>
      <c r="K21" s="80"/>
      <c r="L21" s="100">
        <v>2.36</v>
      </c>
      <c r="M21" s="95"/>
      <c r="N21" s="80"/>
      <c r="O21" s="112"/>
      <c r="P21" s="80"/>
    </row>
    <row r="22" spans="1:17" x14ac:dyDescent="0.25">
      <c r="B22">
        <v>6</v>
      </c>
      <c r="C22">
        <v>195</v>
      </c>
      <c r="D22">
        <v>1500</v>
      </c>
      <c r="E22">
        <v>1600</v>
      </c>
      <c r="G22" t="s">
        <v>15</v>
      </c>
      <c r="J22" s="84">
        <v>29</v>
      </c>
      <c r="K22" s="80"/>
      <c r="L22" s="96">
        <v>1.89</v>
      </c>
      <c r="M22" s="95"/>
      <c r="N22" s="80"/>
      <c r="O22" s="112"/>
      <c r="P22" s="80"/>
      <c r="Q22" t="s">
        <v>17</v>
      </c>
    </row>
    <row r="23" spans="1:17" x14ac:dyDescent="0.25">
      <c r="A23" s="1">
        <v>41662</v>
      </c>
      <c r="B23">
        <v>7</v>
      </c>
      <c r="C23">
        <v>195</v>
      </c>
      <c r="D23">
        <v>920</v>
      </c>
      <c r="E23">
        <v>1024</v>
      </c>
      <c r="G23" t="s">
        <v>18</v>
      </c>
      <c r="J23" s="84">
        <v>22</v>
      </c>
      <c r="K23" s="80">
        <v>5.1900000000000002E-2</v>
      </c>
      <c r="L23" s="101">
        <v>5.92</v>
      </c>
      <c r="M23" s="95"/>
      <c r="N23" s="87">
        <v>5.2</v>
      </c>
      <c r="O23" s="112"/>
      <c r="P23" s="80"/>
      <c r="Q23" t="s">
        <v>19</v>
      </c>
    </row>
    <row r="24" spans="1:17" x14ac:dyDescent="0.25">
      <c r="B24">
        <v>8</v>
      </c>
      <c r="C24">
        <v>195</v>
      </c>
      <c r="D24">
        <v>1030</v>
      </c>
      <c r="E24">
        <v>1330</v>
      </c>
      <c r="G24" t="s">
        <v>266</v>
      </c>
      <c r="J24" s="84">
        <v>22</v>
      </c>
      <c r="K24" s="80"/>
      <c r="L24" s="96">
        <v>1.69</v>
      </c>
      <c r="M24" s="95"/>
      <c r="N24" s="80">
        <v>5.2</v>
      </c>
      <c r="O24" s="112"/>
      <c r="P24" s="80"/>
    </row>
    <row r="25" spans="1:17" x14ac:dyDescent="0.25">
      <c r="B25">
        <v>9</v>
      </c>
      <c r="C25">
        <v>195</v>
      </c>
      <c r="D25">
        <v>1205</v>
      </c>
      <c r="E25">
        <v>1310</v>
      </c>
      <c r="G25" t="s">
        <v>20</v>
      </c>
      <c r="J25" s="84">
        <v>22</v>
      </c>
      <c r="K25" s="80">
        <v>4.0899999999999999E-2</v>
      </c>
      <c r="L25" s="96">
        <v>1.75</v>
      </c>
      <c r="M25" s="95"/>
      <c r="N25" s="80">
        <v>5.2</v>
      </c>
      <c r="O25" s="112"/>
      <c r="P25" s="80"/>
      <c r="Q25" t="s">
        <v>21</v>
      </c>
    </row>
    <row r="26" spans="1:17" x14ac:dyDescent="0.25">
      <c r="B26">
        <v>10</v>
      </c>
      <c r="C26">
        <v>195</v>
      </c>
      <c r="D26">
        <v>1330</v>
      </c>
      <c r="E26">
        <v>1415</v>
      </c>
      <c r="G26" t="s">
        <v>22</v>
      </c>
      <c r="J26" s="84">
        <v>22</v>
      </c>
      <c r="K26" s="80"/>
      <c r="L26" s="96">
        <v>1.79</v>
      </c>
      <c r="M26" s="95"/>
      <c r="N26" s="80">
        <v>5.2</v>
      </c>
      <c r="O26" s="112"/>
      <c r="P26" s="80"/>
      <c r="Q26" t="s">
        <v>21</v>
      </c>
    </row>
    <row r="27" spans="1:17" x14ac:dyDescent="0.25">
      <c r="B27">
        <v>11</v>
      </c>
      <c r="C27">
        <v>195</v>
      </c>
      <c r="D27">
        <v>1415</v>
      </c>
      <c r="E27">
        <v>1455</v>
      </c>
      <c r="G27" t="s">
        <v>23</v>
      </c>
      <c r="J27" s="84">
        <v>21</v>
      </c>
      <c r="K27" s="80"/>
      <c r="L27" s="102" t="s">
        <v>285</v>
      </c>
      <c r="M27" s="95"/>
      <c r="N27" s="80">
        <v>5.2</v>
      </c>
      <c r="O27" s="112"/>
      <c r="P27" s="80"/>
      <c r="Q27" t="s">
        <v>21</v>
      </c>
    </row>
    <row r="28" spans="1:17" x14ac:dyDescent="0.25">
      <c r="B28">
        <v>12</v>
      </c>
      <c r="C28">
        <v>195</v>
      </c>
      <c r="D28">
        <v>1457</v>
      </c>
      <c r="E28">
        <v>1645</v>
      </c>
      <c r="G28" t="s">
        <v>24</v>
      </c>
      <c r="J28" s="84">
        <v>20</v>
      </c>
      <c r="K28" s="80"/>
      <c r="L28" s="96">
        <v>2.9</v>
      </c>
      <c r="M28" s="95"/>
      <c r="N28" s="80">
        <v>5.2</v>
      </c>
      <c r="O28" s="112"/>
      <c r="P28" s="80"/>
      <c r="Q28" t="s">
        <v>25</v>
      </c>
    </row>
    <row r="29" spans="1:17" x14ac:dyDescent="0.25">
      <c r="A29" s="1">
        <v>41663</v>
      </c>
      <c r="B29">
        <v>13</v>
      </c>
      <c r="C29">
        <v>194</v>
      </c>
      <c r="D29">
        <v>1050</v>
      </c>
      <c r="E29">
        <v>1148</v>
      </c>
      <c r="G29" t="s">
        <v>26</v>
      </c>
      <c r="J29" s="84">
        <v>20</v>
      </c>
      <c r="K29" s="80"/>
      <c r="L29" s="100">
        <v>2.59</v>
      </c>
      <c r="M29" s="95">
        <v>3.52</v>
      </c>
      <c r="N29" s="80">
        <v>4.4000000000000004</v>
      </c>
      <c r="O29" s="112"/>
      <c r="P29" s="80"/>
      <c r="Q29" t="s">
        <v>27</v>
      </c>
    </row>
    <row r="30" spans="1:17" x14ac:dyDescent="0.25">
      <c r="B30">
        <v>14</v>
      </c>
      <c r="C30">
        <v>194</v>
      </c>
      <c r="D30">
        <v>1530</v>
      </c>
      <c r="E30">
        <v>1553</v>
      </c>
      <c r="G30" t="s">
        <v>26</v>
      </c>
      <c r="J30" s="84">
        <v>18</v>
      </c>
      <c r="K30" s="80"/>
      <c r="L30" s="96">
        <v>1.61</v>
      </c>
      <c r="M30" s="95"/>
      <c r="N30" s="80">
        <v>4.4000000000000004</v>
      </c>
      <c r="O30" s="112"/>
      <c r="P30" s="80"/>
      <c r="Q30" t="s">
        <v>28</v>
      </c>
    </row>
    <row r="31" spans="1:17" x14ac:dyDescent="0.25">
      <c r="B31">
        <v>15</v>
      </c>
      <c r="C31">
        <v>194</v>
      </c>
      <c r="D31">
        <v>1554</v>
      </c>
      <c r="E31">
        <v>1730</v>
      </c>
      <c r="G31" t="s">
        <v>29</v>
      </c>
      <c r="J31" s="84">
        <v>16</v>
      </c>
      <c r="K31" s="80"/>
      <c r="L31" s="96">
        <v>1.41</v>
      </c>
      <c r="M31" s="95"/>
      <c r="N31" s="80">
        <v>4.4000000000000004</v>
      </c>
      <c r="O31" s="112"/>
      <c r="P31" s="80"/>
    </row>
    <row r="32" spans="1:17" x14ac:dyDescent="0.25">
      <c r="A32" s="1">
        <v>41666</v>
      </c>
      <c r="B32">
        <v>16</v>
      </c>
      <c r="C32">
        <v>194</v>
      </c>
      <c r="D32">
        <v>830</v>
      </c>
      <c r="E32">
        <v>1010</v>
      </c>
      <c r="G32" t="s">
        <v>29</v>
      </c>
      <c r="J32" s="84">
        <v>14</v>
      </c>
      <c r="K32" s="80"/>
      <c r="L32" s="103">
        <v>1.53</v>
      </c>
      <c r="M32" s="95"/>
      <c r="N32" s="80">
        <v>7.2</v>
      </c>
      <c r="O32" s="112"/>
      <c r="P32" s="80"/>
      <c r="Q32" t="s">
        <v>30</v>
      </c>
    </row>
    <row r="33" spans="1:17" x14ac:dyDescent="0.25">
      <c r="B33">
        <v>17</v>
      </c>
      <c r="C33">
        <v>196</v>
      </c>
      <c r="D33">
        <v>1010</v>
      </c>
      <c r="E33">
        <v>1118</v>
      </c>
      <c r="G33" t="s">
        <v>31</v>
      </c>
      <c r="J33" s="84">
        <v>13</v>
      </c>
      <c r="K33" s="80">
        <v>2.98E-2</v>
      </c>
      <c r="L33" s="96">
        <v>1.35</v>
      </c>
      <c r="M33" s="95">
        <v>1.91</v>
      </c>
      <c r="N33" s="80">
        <v>7.2</v>
      </c>
      <c r="O33" s="112"/>
      <c r="P33" s="80"/>
      <c r="Q33" t="s">
        <v>32</v>
      </c>
    </row>
    <row r="34" spans="1:17" x14ac:dyDescent="0.25">
      <c r="B34">
        <v>18</v>
      </c>
      <c r="C34">
        <v>195</v>
      </c>
      <c r="D34">
        <v>1640</v>
      </c>
      <c r="E34">
        <v>1747</v>
      </c>
      <c r="G34" t="s">
        <v>33</v>
      </c>
      <c r="J34" s="84">
        <v>16</v>
      </c>
      <c r="K34" s="80">
        <v>6.1499999999999999E-2</v>
      </c>
      <c r="L34" s="96">
        <v>1.9</v>
      </c>
      <c r="M34" s="95">
        <v>2.42</v>
      </c>
      <c r="N34" s="80">
        <v>7.2</v>
      </c>
      <c r="O34" s="112"/>
      <c r="P34" s="80"/>
      <c r="Q34" t="s">
        <v>34</v>
      </c>
    </row>
    <row r="35" spans="1:17" x14ac:dyDescent="0.25">
      <c r="A35" s="1">
        <v>41667</v>
      </c>
      <c r="B35">
        <v>19</v>
      </c>
      <c r="C35">
        <v>195</v>
      </c>
      <c r="D35">
        <v>725</v>
      </c>
      <c r="E35">
        <v>836</v>
      </c>
      <c r="G35" t="s">
        <v>35</v>
      </c>
      <c r="J35" s="84">
        <v>14</v>
      </c>
      <c r="K35" s="80">
        <v>4.2599999999999999E-2</v>
      </c>
      <c r="L35" s="153" t="s">
        <v>265</v>
      </c>
      <c r="M35" s="95">
        <v>5.59</v>
      </c>
      <c r="N35" s="80">
        <v>7.7</v>
      </c>
      <c r="O35" s="112"/>
      <c r="P35" s="80"/>
      <c r="Q35" t="s">
        <v>37</v>
      </c>
    </row>
    <row r="36" spans="1:17" x14ac:dyDescent="0.25">
      <c r="B36">
        <v>20</v>
      </c>
      <c r="C36">
        <v>195</v>
      </c>
      <c r="D36">
        <v>910</v>
      </c>
      <c r="E36">
        <v>1010</v>
      </c>
      <c r="G36" t="s">
        <v>36</v>
      </c>
      <c r="J36" s="84">
        <v>14</v>
      </c>
      <c r="K36" s="80"/>
      <c r="L36" s="153" t="s">
        <v>265</v>
      </c>
      <c r="M36" s="95"/>
      <c r="N36" s="80">
        <v>7.7</v>
      </c>
      <c r="O36" s="112"/>
      <c r="P36" s="113">
        <v>7.7000000000000002E-3</v>
      </c>
      <c r="Q36" t="s">
        <v>38</v>
      </c>
    </row>
    <row r="37" spans="1:17" x14ac:dyDescent="0.25">
      <c r="B37">
        <v>21</v>
      </c>
      <c r="C37" t="s">
        <v>39</v>
      </c>
      <c r="D37">
        <v>1403</v>
      </c>
      <c r="E37">
        <v>1510</v>
      </c>
      <c r="G37" t="s">
        <v>40</v>
      </c>
      <c r="J37" s="85">
        <v>0.09</v>
      </c>
      <c r="K37" s="80"/>
      <c r="L37" s="96">
        <v>0.8</v>
      </c>
      <c r="M37" s="95">
        <v>1.57</v>
      </c>
      <c r="N37" s="104">
        <v>7.7</v>
      </c>
      <c r="O37" s="112"/>
      <c r="P37" s="113"/>
      <c r="Q37" t="s">
        <v>41</v>
      </c>
    </row>
    <row r="38" spans="1:17" x14ac:dyDescent="0.25">
      <c r="A38" s="1">
        <v>41669</v>
      </c>
      <c r="B38" s="4" t="s">
        <v>62</v>
      </c>
      <c r="C38">
        <v>150</v>
      </c>
      <c r="D38">
        <v>1052</v>
      </c>
      <c r="E38">
        <v>1152</v>
      </c>
      <c r="G38" t="s">
        <v>42</v>
      </c>
      <c r="J38" s="84">
        <v>12</v>
      </c>
      <c r="K38" s="80"/>
      <c r="L38" s="96">
        <v>0.95</v>
      </c>
      <c r="M38" s="95">
        <v>1.59</v>
      </c>
      <c r="N38" s="104">
        <v>5</v>
      </c>
      <c r="O38" s="112"/>
      <c r="P38" s="113"/>
      <c r="Q38" t="s">
        <v>44</v>
      </c>
    </row>
    <row r="39" spans="1:17" x14ac:dyDescent="0.25">
      <c r="B39" s="4" t="s">
        <v>61</v>
      </c>
      <c r="D39">
        <v>950</v>
      </c>
      <c r="E39">
        <v>1055</v>
      </c>
      <c r="G39" t="s">
        <v>43</v>
      </c>
      <c r="J39" s="84">
        <v>12</v>
      </c>
      <c r="K39" s="80">
        <v>3.6400000000000002E-2</v>
      </c>
      <c r="L39" s="96">
        <v>1.06</v>
      </c>
      <c r="M39" s="95"/>
      <c r="N39" s="104">
        <v>5</v>
      </c>
      <c r="O39" s="112"/>
      <c r="P39" s="113"/>
      <c r="Q39" t="s">
        <v>45</v>
      </c>
    </row>
    <row r="40" spans="1:17" x14ac:dyDescent="0.25">
      <c r="B40">
        <v>23</v>
      </c>
      <c r="C40">
        <v>176</v>
      </c>
      <c r="D40">
        <v>1314</v>
      </c>
      <c r="E40">
        <v>1420</v>
      </c>
      <c r="G40" t="s">
        <v>46</v>
      </c>
      <c r="J40" s="84">
        <v>13</v>
      </c>
      <c r="K40" s="80">
        <v>4.0099999999999997E-2</v>
      </c>
      <c r="L40" s="96">
        <v>1.05</v>
      </c>
      <c r="M40" s="95">
        <v>1.62</v>
      </c>
      <c r="N40" s="104">
        <v>5</v>
      </c>
      <c r="O40" s="112"/>
      <c r="P40" s="113"/>
      <c r="Q40" t="s">
        <v>47</v>
      </c>
    </row>
    <row r="41" spans="1:17" x14ac:dyDescent="0.25">
      <c r="B41">
        <v>24</v>
      </c>
      <c r="C41">
        <v>195</v>
      </c>
      <c r="D41">
        <v>1516</v>
      </c>
      <c r="E41">
        <v>1621</v>
      </c>
      <c r="G41" t="s">
        <v>48</v>
      </c>
      <c r="J41" s="84">
        <v>21</v>
      </c>
      <c r="K41" s="80">
        <v>7.6899999999999996E-2</v>
      </c>
      <c r="L41" s="96">
        <v>1.43</v>
      </c>
      <c r="M41" s="95">
        <v>2.34</v>
      </c>
      <c r="N41" s="104">
        <v>5</v>
      </c>
      <c r="O41" s="112"/>
      <c r="P41" s="113"/>
      <c r="Q41" t="s">
        <v>47</v>
      </c>
    </row>
    <row r="42" spans="1:17" x14ac:dyDescent="0.25">
      <c r="B42">
        <v>25</v>
      </c>
      <c r="C42">
        <v>195</v>
      </c>
      <c r="D42">
        <v>1700</v>
      </c>
      <c r="E42">
        <v>1730</v>
      </c>
      <c r="G42" t="s">
        <v>49</v>
      </c>
      <c r="J42" s="84">
        <v>23</v>
      </c>
      <c r="K42" s="80"/>
      <c r="L42" s="96">
        <v>1.3</v>
      </c>
      <c r="M42" s="95">
        <v>2.52</v>
      </c>
      <c r="N42" s="104">
        <v>5</v>
      </c>
      <c r="O42" s="112"/>
      <c r="P42" s="113"/>
      <c r="Q42" t="s">
        <v>51</v>
      </c>
    </row>
    <row r="43" spans="1:17" x14ac:dyDescent="0.25">
      <c r="A43" s="1">
        <v>41670</v>
      </c>
      <c r="B43">
        <v>26</v>
      </c>
      <c r="C43">
        <v>90</v>
      </c>
      <c r="D43">
        <v>942</v>
      </c>
      <c r="E43">
        <v>1050</v>
      </c>
      <c r="G43" t="s">
        <v>52</v>
      </c>
      <c r="J43" s="84">
        <v>10</v>
      </c>
      <c r="K43" s="80"/>
      <c r="L43" s="96">
        <v>0.99</v>
      </c>
      <c r="M43" s="95"/>
      <c r="N43" s="104">
        <v>4.4000000000000004</v>
      </c>
      <c r="O43" s="112"/>
      <c r="P43" s="113"/>
      <c r="Q43" t="s">
        <v>53</v>
      </c>
    </row>
    <row r="44" spans="1:17" x14ac:dyDescent="0.25">
      <c r="A44" s="1">
        <v>41671</v>
      </c>
      <c r="B44">
        <v>27</v>
      </c>
      <c r="C44">
        <v>150</v>
      </c>
      <c r="D44">
        <v>920</v>
      </c>
      <c r="E44">
        <v>1020</v>
      </c>
      <c r="G44" t="s">
        <v>42</v>
      </c>
      <c r="J44" s="84">
        <v>13</v>
      </c>
      <c r="K44" s="80"/>
      <c r="L44" s="96">
        <v>1.03</v>
      </c>
      <c r="M44" s="95"/>
      <c r="N44" s="104">
        <v>5.5</v>
      </c>
      <c r="O44" s="112"/>
      <c r="P44" s="113"/>
      <c r="Q44" t="s">
        <v>50</v>
      </c>
    </row>
    <row r="45" spans="1:17" x14ac:dyDescent="0.25">
      <c r="B45">
        <v>28</v>
      </c>
      <c r="C45">
        <v>150</v>
      </c>
      <c r="D45">
        <v>1030</v>
      </c>
      <c r="E45">
        <v>1100</v>
      </c>
      <c r="G45" t="s">
        <v>54</v>
      </c>
      <c r="J45" s="84">
        <v>13</v>
      </c>
      <c r="K45" s="80"/>
      <c r="L45" s="96">
        <v>1.06</v>
      </c>
      <c r="M45" s="95"/>
      <c r="N45" s="104">
        <v>5.5</v>
      </c>
      <c r="O45" s="112"/>
      <c r="P45" s="113"/>
      <c r="Q45" t="s">
        <v>50</v>
      </c>
    </row>
    <row r="46" spans="1:17" x14ac:dyDescent="0.25">
      <c r="B46">
        <v>29</v>
      </c>
      <c r="C46">
        <v>170</v>
      </c>
      <c r="D46">
        <v>1200</v>
      </c>
      <c r="E46">
        <v>1230</v>
      </c>
      <c r="G46" t="s">
        <v>54</v>
      </c>
      <c r="J46" s="84">
        <v>22</v>
      </c>
      <c r="K46" s="80"/>
      <c r="L46" s="96">
        <v>1.41</v>
      </c>
      <c r="M46" s="95"/>
      <c r="N46" s="104">
        <v>5.5</v>
      </c>
      <c r="O46" s="112"/>
      <c r="P46" s="113"/>
      <c r="Q46" t="s">
        <v>50</v>
      </c>
    </row>
    <row r="47" spans="1:17" x14ac:dyDescent="0.25">
      <c r="B47" s="4" t="s">
        <v>59</v>
      </c>
      <c r="C47">
        <v>170</v>
      </c>
      <c r="D47">
        <v>1300</v>
      </c>
      <c r="E47">
        <v>1400</v>
      </c>
      <c r="G47" t="s">
        <v>55</v>
      </c>
      <c r="J47" s="84">
        <v>20</v>
      </c>
      <c r="K47" s="80"/>
      <c r="L47" s="96">
        <v>1.37</v>
      </c>
      <c r="M47" s="95"/>
      <c r="N47" s="104">
        <v>5.5</v>
      </c>
      <c r="O47" s="112"/>
      <c r="P47" s="113"/>
      <c r="Q47" t="s">
        <v>56</v>
      </c>
    </row>
    <row r="48" spans="1:17" x14ac:dyDescent="0.25">
      <c r="B48" s="4" t="s">
        <v>63</v>
      </c>
      <c r="C48">
        <v>170</v>
      </c>
      <c r="D48">
        <v>1340</v>
      </c>
      <c r="E48">
        <v>1400</v>
      </c>
      <c r="G48" t="s">
        <v>49</v>
      </c>
      <c r="J48" s="84">
        <v>20</v>
      </c>
      <c r="K48" s="80"/>
      <c r="L48" s="96">
        <v>1.34</v>
      </c>
      <c r="M48" s="95"/>
      <c r="N48" s="104">
        <v>5.5</v>
      </c>
      <c r="O48" s="112"/>
      <c r="P48" s="113"/>
      <c r="Q48" t="s">
        <v>60</v>
      </c>
    </row>
    <row r="49" spans="1:19" x14ac:dyDescent="0.25">
      <c r="B49" s="4" t="s">
        <v>58</v>
      </c>
      <c r="C49">
        <v>85</v>
      </c>
      <c r="D49">
        <v>1430</v>
      </c>
      <c r="E49">
        <v>1510</v>
      </c>
      <c r="G49" t="s">
        <v>57</v>
      </c>
      <c r="J49" s="84">
        <v>10</v>
      </c>
      <c r="K49" s="80"/>
      <c r="L49" s="96">
        <v>0.38</v>
      </c>
      <c r="M49" s="95"/>
      <c r="N49" s="104">
        <v>5.5</v>
      </c>
      <c r="O49" s="112"/>
      <c r="P49" s="113"/>
      <c r="Q49" t="s">
        <v>50</v>
      </c>
    </row>
    <row r="50" spans="1:19" x14ac:dyDescent="0.25">
      <c r="B50" s="4" t="s">
        <v>64</v>
      </c>
      <c r="C50">
        <v>85</v>
      </c>
      <c r="D50">
        <v>1510</v>
      </c>
      <c r="E50">
        <v>1600</v>
      </c>
      <c r="G50" t="s">
        <v>52</v>
      </c>
      <c r="J50" s="84">
        <v>10</v>
      </c>
      <c r="K50" s="80"/>
      <c r="L50" s="96">
        <v>0.41</v>
      </c>
      <c r="M50" s="95"/>
      <c r="N50" s="104">
        <v>5.5</v>
      </c>
      <c r="O50" s="112"/>
      <c r="P50" s="113"/>
      <c r="Q50" t="s">
        <v>50</v>
      </c>
    </row>
    <row r="51" spans="1:19" x14ac:dyDescent="0.25">
      <c r="A51" s="1">
        <v>41672</v>
      </c>
      <c r="B51">
        <v>32</v>
      </c>
      <c r="C51">
        <v>150</v>
      </c>
      <c r="D51">
        <v>845</v>
      </c>
      <c r="E51">
        <v>945</v>
      </c>
      <c r="G51" t="s">
        <v>42</v>
      </c>
      <c r="J51" s="84">
        <v>16</v>
      </c>
      <c r="K51" s="80"/>
      <c r="L51" s="96">
        <v>1.1000000000000001</v>
      </c>
      <c r="M51" s="95"/>
      <c r="N51" s="104">
        <v>4.2</v>
      </c>
      <c r="O51" s="112"/>
      <c r="P51" s="113"/>
      <c r="Q51" t="s">
        <v>50</v>
      </c>
    </row>
    <row r="52" spans="1:19" x14ac:dyDescent="0.25">
      <c r="B52">
        <v>33</v>
      </c>
      <c r="C52">
        <v>150</v>
      </c>
      <c r="D52">
        <v>1000</v>
      </c>
      <c r="E52">
        <v>1030</v>
      </c>
      <c r="G52" t="s">
        <v>54</v>
      </c>
      <c r="J52" s="84">
        <v>13</v>
      </c>
      <c r="K52" s="80"/>
      <c r="L52" s="96">
        <v>1.1200000000000001</v>
      </c>
      <c r="M52" s="95"/>
      <c r="N52" s="104">
        <v>4.2</v>
      </c>
      <c r="O52" s="112"/>
      <c r="P52" s="113"/>
      <c r="Q52" t="s">
        <v>50</v>
      </c>
    </row>
    <row r="53" spans="1:19" x14ac:dyDescent="0.25">
      <c r="B53">
        <v>34</v>
      </c>
      <c r="C53">
        <v>175</v>
      </c>
      <c r="D53">
        <v>1050</v>
      </c>
      <c r="E53">
        <v>1120</v>
      </c>
      <c r="G53" t="s">
        <v>54</v>
      </c>
      <c r="J53" s="84">
        <v>18</v>
      </c>
      <c r="K53" s="80"/>
      <c r="L53" s="96">
        <v>1.47</v>
      </c>
      <c r="M53" s="95"/>
      <c r="N53" s="104">
        <v>4.2</v>
      </c>
      <c r="O53" s="112"/>
      <c r="P53" s="113"/>
      <c r="Q53" t="s">
        <v>50</v>
      </c>
    </row>
    <row r="54" spans="1:19" x14ac:dyDescent="0.25">
      <c r="A54" s="1">
        <v>41673</v>
      </c>
      <c r="B54">
        <v>35</v>
      </c>
      <c r="C54">
        <v>195</v>
      </c>
      <c r="D54">
        <v>1300</v>
      </c>
      <c r="E54">
        <v>1403</v>
      </c>
      <c r="G54" t="s">
        <v>267</v>
      </c>
      <c r="J54" s="84">
        <v>10</v>
      </c>
      <c r="K54" s="80">
        <v>2.52E-2</v>
      </c>
      <c r="L54" s="96">
        <v>7.26</v>
      </c>
      <c r="M54" s="95"/>
      <c r="N54" s="104">
        <v>4.5999999999999996</v>
      </c>
      <c r="O54" s="114">
        <v>2.5999999999999999E-3</v>
      </c>
      <c r="P54" s="113"/>
      <c r="Q54" t="s">
        <v>244</v>
      </c>
    </row>
    <row r="55" spans="1:19" x14ac:dyDescent="0.25">
      <c r="B55">
        <v>36</v>
      </c>
      <c r="C55">
        <v>195</v>
      </c>
      <c r="D55">
        <v>1530</v>
      </c>
      <c r="E55">
        <v>1642</v>
      </c>
      <c r="G55" t="s">
        <v>148</v>
      </c>
      <c r="J55" s="84">
        <v>8</v>
      </c>
      <c r="K55" s="80"/>
      <c r="L55" s="96">
        <v>6.63</v>
      </c>
      <c r="M55" s="95"/>
      <c r="N55" s="104">
        <v>4.5999999999999996</v>
      </c>
      <c r="O55" s="114">
        <v>2.0999999999999999E-3</v>
      </c>
      <c r="P55" s="113">
        <v>1.5E-3</v>
      </c>
      <c r="Q55" t="s">
        <v>244</v>
      </c>
    </row>
    <row r="56" spans="1:19" x14ac:dyDescent="0.25">
      <c r="B56" s="54" t="s">
        <v>149</v>
      </c>
      <c r="C56" s="44">
        <v>195</v>
      </c>
      <c r="D56" s="44">
        <v>1530</v>
      </c>
      <c r="E56" s="44">
        <v>1745</v>
      </c>
      <c r="F56" s="44"/>
      <c r="G56" s="44" t="s">
        <v>154</v>
      </c>
      <c r="H56" s="44"/>
      <c r="I56" s="44"/>
      <c r="J56" s="86">
        <v>8</v>
      </c>
      <c r="K56" s="87">
        <v>1.6E-2</v>
      </c>
      <c r="L56" s="101">
        <v>6.38</v>
      </c>
      <c r="M56" s="105"/>
      <c r="N56" s="106">
        <v>4.5999999999999996</v>
      </c>
      <c r="O56" s="115">
        <v>1.8E-3</v>
      </c>
      <c r="P56" s="116"/>
      <c r="Q56" s="44" t="s">
        <v>155</v>
      </c>
      <c r="R56" s="44"/>
      <c r="S56" s="44"/>
    </row>
    <row r="57" spans="1:19" x14ac:dyDescent="0.25">
      <c r="B57">
        <v>37</v>
      </c>
      <c r="C57">
        <v>150</v>
      </c>
      <c r="D57">
        <v>1740</v>
      </c>
      <c r="E57">
        <v>1900</v>
      </c>
      <c r="G57" t="s">
        <v>153</v>
      </c>
      <c r="J57" s="84">
        <v>9</v>
      </c>
      <c r="K57" s="80"/>
      <c r="L57" s="96">
        <v>5.23</v>
      </c>
      <c r="M57" s="95"/>
      <c r="N57" s="104">
        <v>4.5999999999999996</v>
      </c>
      <c r="O57" s="114">
        <v>1.7600000000000001E-3</v>
      </c>
      <c r="P57" s="113"/>
      <c r="Q57" t="s">
        <v>156</v>
      </c>
    </row>
    <row r="58" spans="1:19" x14ac:dyDescent="0.25">
      <c r="B58">
        <v>38</v>
      </c>
      <c r="C58">
        <v>75</v>
      </c>
      <c r="D58">
        <v>1925</v>
      </c>
      <c r="E58">
        <v>2025</v>
      </c>
      <c r="G58" t="s">
        <v>153</v>
      </c>
      <c r="J58" s="84">
        <v>8</v>
      </c>
      <c r="K58" s="80"/>
      <c r="L58" s="107">
        <v>5.88</v>
      </c>
      <c r="M58" s="95"/>
      <c r="N58" s="104">
        <v>4.5999999999999996</v>
      </c>
      <c r="O58" s="114">
        <v>1.3699999999999999E-3</v>
      </c>
      <c r="P58" s="113"/>
      <c r="Q58" t="s">
        <v>156</v>
      </c>
    </row>
    <row r="59" spans="1:19" x14ac:dyDescent="0.25">
      <c r="A59" s="1">
        <v>41676</v>
      </c>
      <c r="B59">
        <v>39</v>
      </c>
      <c r="C59">
        <v>195</v>
      </c>
      <c r="D59">
        <v>1250</v>
      </c>
      <c r="E59">
        <v>1400</v>
      </c>
      <c r="G59" t="s">
        <v>157</v>
      </c>
      <c r="J59" s="84">
        <v>16</v>
      </c>
      <c r="K59" s="80"/>
      <c r="L59" s="101">
        <v>5.63</v>
      </c>
      <c r="M59" s="95"/>
      <c r="N59" s="106">
        <v>5.7</v>
      </c>
      <c r="O59" s="114">
        <v>1.7600000000000001E-3</v>
      </c>
      <c r="P59" s="113">
        <v>2.3999999999999998E-3</v>
      </c>
      <c r="Q59" t="s">
        <v>158</v>
      </c>
    </row>
    <row r="60" spans="1:19" x14ac:dyDescent="0.25">
      <c r="B60">
        <v>40</v>
      </c>
      <c r="C60">
        <v>195</v>
      </c>
      <c r="D60">
        <v>1440</v>
      </c>
      <c r="E60">
        <v>1552</v>
      </c>
      <c r="G60" s="51" t="s">
        <v>268</v>
      </c>
      <c r="J60" s="84">
        <v>32</v>
      </c>
      <c r="K60" s="80"/>
      <c r="L60" s="96">
        <v>1.79</v>
      </c>
      <c r="M60" s="95"/>
      <c r="N60" s="104">
        <v>5.7</v>
      </c>
      <c r="O60" s="114">
        <v>1.9499999999999999E-3</v>
      </c>
      <c r="P60" s="113">
        <v>2.5000000000000001E-3</v>
      </c>
      <c r="Q60" t="s">
        <v>158</v>
      </c>
    </row>
    <row r="61" spans="1:19" x14ac:dyDescent="0.25">
      <c r="B61" s="44">
        <v>41</v>
      </c>
      <c r="C61" s="44" t="s">
        <v>159</v>
      </c>
      <c r="D61" s="44">
        <v>1700</v>
      </c>
      <c r="E61" s="44">
        <v>1730</v>
      </c>
      <c r="F61" s="44"/>
      <c r="G61" s="44" t="s">
        <v>268</v>
      </c>
      <c r="H61" s="44"/>
      <c r="I61" s="44"/>
      <c r="J61" s="86">
        <v>26</v>
      </c>
      <c r="K61" s="87"/>
      <c r="L61" s="101">
        <v>0.9</v>
      </c>
      <c r="M61" s="105"/>
      <c r="N61" s="106">
        <v>5.7</v>
      </c>
      <c r="O61" s="115">
        <v>2E-3</v>
      </c>
      <c r="P61" s="116"/>
      <c r="Q61" s="44" t="s">
        <v>160</v>
      </c>
      <c r="R61" s="44"/>
      <c r="S61" s="44"/>
    </row>
    <row r="62" spans="1:19" x14ac:dyDescent="0.25">
      <c r="A62" s="1">
        <v>41677</v>
      </c>
      <c r="B62" s="44">
        <v>42</v>
      </c>
      <c r="C62" s="44">
        <v>195</v>
      </c>
      <c r="D62" s="44">
        <v>730</v>
      </c>
      <c r="E62" s="44">
        <v>840</v>
      </c>
      <c r="F62" s="44"/>
      <c r="G62" s="44" t="s">
        <v>332</v>
      </c>
      <c r="H62" s="44"/>
      <c r="I62" s="44"/>
      <c r="J62" s="86">
        <v>10</v>
      </c>
      <c r="K62" s="87">
        <v>2.8000000000000001E-2</v>
      </c>
      <c r="L62" s="101">
        <v>5.19</v>
      </c>
      <c r="M62" s="105"/>
      <c r="N62" s="106">
        <v>4.5999999999999996</v>
      </c>
      <c r="O62" s="115">
        <v>4.3699999999999998E-3</v>
      </c>
      <c r="P62" s="116">
        <v>6.7000000000000002E-3</v>
      </c>
      <c r="Q62" s="44" t="s">
        <v>158</v>
      </c>
      <c r="R62" s="44"/>
      <c r="S62" s="44"/>
    </row>
    <row r="63" spans="1:19" x14ac:dyDescent="0.25">
      <c r="B63" s="44">
        <v>43</v>
      </c>
      <c r="C63" s="44">
        <v>170</v>
      </c>
      <c r="D63" s="44">
        <v>850</v>
      </c>
      <c r="E63" s="44">
        <v>935</v>
      </c>
      <c r="F63" s="44"/>
      <c r="G63" s="44" t="s">
        <v>157</v>
      </c>
      <c r="H63" s="44"/>
      <c r="I63" s="44"/>
      <c r="J63" s="86">
        <v>10</v>
      </c>
      <c r="K63" s="87">
        <v>1.6799999999999999E-2</v>
      </c>
      <c r="L63" s="101">
        <v>5.0199999999999996</v>
      </c>
      <c r="M63" s="105"/>
      <c r="N63" s="106">
        <v>4.5999999999999996</v>
      </c>
      <c r="O63" s="115">
        <v>2.3999999999999998E-3</v>
      </c>
      <c r="P63" s="116">
        <v>2E-3</v>
      </c>
      <c r="Q63" s="44" t="s">
        <v>158</v>
      </c>
      <c r="R63" s="44"/>
      <c r="S63" s="44"/>
    </row>
    <row r="64" spans="1:19" x14ac:dyDescent="0.25">
      <c r="B64" s="44">
        <v>44</v>
      </c>
      <c r="C64" s="44">
        <v>160</v>
      </c>
      <c r="D64" s="44">
        <v>1155</v>
      </c>
      <c r="E64" s="44">
        <v>1304</v>
      </c>
      <c r="F64" s="44"/>
      <c r="G64" s="44" t="s">
        <v>161</v>
      </c>
      <c r="H64" s="44"/>
      <c r="I64" s="44"/>
      <c r="J64" s="86">
        <v>21</v>
      </c>
      <c r="K64" s="87">
        <v>7.1800000000000003E-2</v>
      </c>
      <c r="L64" s="101">
        <v>0.8</v>
      </c>
      <c r="M64" s="105"/>
      <c r="N64" s="106">
        <v>4.5999999999999996</v>
      </c>
      <c r="O64" s="115">
        <v>2.5400000000000002E-3</v>
      </c>
      <c r="P64" s="116">
        <v>1.6000000000000001E-3</v>
      </c>
      <c r="Q64" s="44" t="s">
        <v>158</v>
      </c>
      <c r="R64" s="44"/>
      <c r="S64" s="44"/>
    </row>
    <row r="65" spans="1:19" x14ac:dyDescent="0.25">
      <c r="B65" s="44">
        <v>45</v>
      </c>
      <c r="C65" s="44">
        <v>170</v>
      </c>
      <c r="D65" s="44">
        <v>1453</v>
      </c>
      <c r="E65" s="44">
        <v>1602</v>
      </c>
      <c r="F65" s="44"/>
      <c r="G65" s="44" t="s">
        <v>162</v>
      </c>
      <c r="H65" s="44"/>
      <c r="I65" s="44"/>
      <c r="J65" s="86">
        <v>23</v>
      </c>
      <c r="K65" s="87">
        <v>6.7799999999999999E-2</v>
      </c>
      <c r="L65" s="101">
        <v>0.82</v>
      </c>
      <c r="M65" s="105"/>
      <c r="N65" s="106">
        <v>4.5999999999999996</v>
      </c>
      <c r="O65" s="115">
        <v>2E-3</v>
      </c>
      <c r="P65" s="116">
        <v>2E-3</v>
      </c>
      <c r="Q65" s="44" t="s">
        <v>158</v>
      </c>
      <c r="R65" s="44"/>
      <c r="S65" s="44"/>
    </row>
    <row r="66" spans="1:19" x14ac:dyDescent="0.25">
      <c r="B66">
        <v>46</v>
      </c>
      <c r="C66">
        <v>195</v>
      </c>
      <c r="D66">
        <v>1635</v>
      </c>
      <c r="E66">
        <v>1700</v>
      </c>
      <c r="G66" t="s">
        <v>162</v>
      </c>
      <c r="J66" s="84">
        <v>32</v>
      </c>
      <c r="K66" s="80"/>
      <c r="L66" s="96">
        <v>1.31</v>
      </c>
      <c r="M66" s="95"/>
      <c r="N66" s="104">
        <v>4.3</v>
      </c>
      <c r="O66" s="114">
        <v>2.0999999999999999E-3</v>
      </c>
      <c r="P66" s="113"/>
      <c r="Q66" t="s">
        <v>158</v>
      </c>
    </row>
    <row r="67" spans="1:19" x14ac:dyDescent="0.25">
      <c r="A67" s="1">
        <v>41678</v>
      </c>
      <c r="B67">
        <v>47</v>
      </c>
      <c r="C67">
        <v>195</v>
      </c>
      <c r="D67">
        <v>930</v>
      </c>
      <c r="E67">
        <v>1000</v>
      </c>
      <c r="G67" t="s">
        <v>269</v>
      </c>
      <c r="J67" s="84">
        <v>11</v>
      </c>
      <c r="K67" s="80"/>
      <c r="L67" s="96">
        <v>5.69</v>
      </c>
      <c r="M67" s="95"/>
      <c r="N67" s="108">
        <v>4.3</v>
      </c>
      <c r="O67" s="114">
        <v>1.6999999999999999E-3</v>
      </c>
      <c r="P67" s="113"/>
      <c r="Q67" t="s">
        <v>160</v>
      </c>
    </row>
    <row r="68" spans="1:19" x14ac:dyDescent="0.25">
      <c r="B68">
        <v>48</v>
      </c>
      <c r="C68">
        <v>195</v>
      </c>
      <c r="D68">
        <v>1015</v>
      </c>
      <c r="E68">
        <v>1045</v>
      </c>
      <c r="G68" t="s">
        <v>270</v>
      </c>
      <c r="J68" s="84">
        <v>16</v>
      </c>
      <c r="K68" s="80"/>
      <c r="L68" s="96">
        <v>5.72</v>
      </c>
      <c r="M68" s="95"/>
      <c r="N68" s="108">
        <v>4.3</v>
      </c>
      <c r="O68" s="114">
        <v>1.5E-3</v>
      </c>
      <c r="P68" s="80"/>
      <c r="Q68" t="s">
        <v>160</v>
      </c>
    </row>
    <row r="69" spans="1:19" x14ac:dyDescent="0.25">
      <c r="B69">
        <v>49</v>
      </c>
      <c r="C69">
        <v>195</v>
      </c>
      <c r="D69">
        <v>1410</v>
      </c>
      <c r="E69">
        <v>1440</v>
      </c>
      <c r="G69" t="s">
        <v>271</v>
      </c>
      <c r="J69" s="84">
        <v>22</v>
      </c>
      <c r="K69" s="80"/>
      <c r="L69" s="96">
        <v>5.62</v>
      </c>
      <c r="M69" s="95"/>
      <c r="N69" s="108">
        <v>4.3</v>
      </c>
      <c r="O69" s="114">
        <v>1.4E-3</v>
      </c>
      <c r="P69" s="80"/>
      <c r="Q69" t="s">
        <v>160</v>
      </c>
    </row>
    <row r="70" spans="1:19" x14ac:dyDescent="0.25">
      <c r="B70">
        <v>50</v>
      </c>
      <c r="C70">
        <v>195</v>
      </c>
      <c r="D70">
        <v>1630</v>
      </c>
      <c r="E70">
        <v>1700</v>
      </c>
      <c r="G70" t="s">
        <v>272</v>
      </c>
      <c r="J70" s="84">
        <v>22</v>
      </c>
      <c r="K70" s="80"/>
      <c r="L70" s="96">
        <v>5.4</v>
      </c>
      <c r="M70" s="95"/>
      <c r="N70" s="108">
        <v>4.3</v>
      </c>
      <c r="O70" s="114">
        <v>2.5000000000000001E-3</v>
      </c>
      <c r="P70" s="80"/>
      <c r="Q70" t="s">
        <v>160</v>
      </c>
    </row>
    <row r="71" spans="1:19" x14ac:dyDescent="0.25">
      <c r="A71" s="1">
        <v>41679</v>
      </c>
      <c r="B71">
        <v>51</v>
      </c>
      <c r="C71">
        <v>195</v>
      </c>
      <c r="D71">
        <v>1521</v>
      </c>
      <c r="E71">
        <v>1700</v>
      </c>
      <c r="G71" t="s">
        <v>163</v>
      </c>
      <c r="J71" s="84">
        <v>24</v>
      </c>
      <c r="K71" s="80"/>
      <c r="L71" s="100">
        <v>1.44</v>
      </c>
      <c r="M71" s="95"/>
      <c r="N71" s="104">
        <v>5.3</v>
      </c>
      <c r="O71" s="114">
        <v>6.1000000000000004E-3</v>
      </c>
      <c r="P71" s="80"/>
      <c r="Q71" t="s">
        <v>160</v>
      </c>
    </row>
    <row r="72" spans="1:19" x14ac:dyDescent="0.25">
      <c r="B72">
        <v>52</v>
      </c>
      <c r="C72">
        <v>195</v>
      </c>
      <c r="D72">
        <v>1730</v>
      </c>
      <c r="E72">
        <v>1800</v>
      </c>
      <c r="G72" t="s">
        <v>164</v>
      </c>
      <c r="J72" s="84">
        <v>23</v>
      </c>
      <c r="K72" s="80"/>
      <c r="L72" s="100">
        <v>0.98</v>
      </c>
      <c r="M72" s="95"/>
      <c r="N72" s="104">
        <v>5.3</v>
      </c>
      <c r="O72" s="112"/>
      <c r="P72" s="80"/>
      <c r="Q72" t="s">
        <v>160</v>
      </c>
    </row>
    <row r="73" spans="1:19" x14ac:dyDescent="0.25">
      <c r="A73" s="1">
        <v>41680</v>
      </c>
      <c r="B73">
        <v>53</v>
      </c>
      <c r="C73">
        <v>195</v>
      </c>
      <c r="D73">
        <v>9.0500000000000007</v>
      </c>
      <c r="E73">
        <v>1010</v>
      </c>
      <c r="G73" t="s">
        <v>165</v>
      </c>
      <c r="J73" s="84">
        <v>19</v>
      </c>
      <c r="K73" s="80"/>
      <c r="L73" s="96">
        <v>1.71</v>
      </c>
      <c r="M73" s="95"/>
      <c r="N73" s="104">
        <v>4.8</v>
      </c>
      <c r="O73" s="112"/>
      <c r="P73" s="80"/>
      <c r="Q73" t="s">
        <v>160</v>
      </c>
    </row>
    <row r="74" spans="1:19" x14ac:dyDescent="0.25">
      <c r="B74">
        <v>54</v>
      </c>
      <c r="C74">
        <v>195</v>
      </c>
      <c r="D74">
        <v>1030</v>
      </c>
      <c r="E74">
        <v>1131</v>
      </c>
      <c r="G74" t="s">
        <v>163</v>
      </c>
      <c r="J74" s="84">
        <v>21</v>
      </c>
      <c r="K74" s="80"/>
      <c r="L74" s="96">
        <v>1.65</v>
      </c>
      <c r="M74" s="95"/>
      <c r="N74" s="104">
        <v>4.8</v>
      </c>
      <c r="O74" s="112">
        <v>7.4000000000000003E-3</v>
      </c>
      <c r="P74" s="80"/>
      <c r="Q74" t="s">
        <v>160</v>
      </c>
    </row>
    <row r="75" spans="1:19" x14ac:dyDescent="0.25">
      <c r="B75">
        <v>55</v>
      </c>
      <c r="C75">
        <v>195</v>
      </c>
      <c r="D75">
        <v>1230</v>
      </c>
      <c r="E75">
        <v>1340</v>
      </c>
      <c r="G75" t="s">
        <v>240</v>
      </c>
      <c r="J75" s="84">
        <v>23</v>
      </c>
      <c r="K75" s="80"/>
      <c r="L75" s="96">
        <v>1.63</v>
      </c>
      <c r="M75" s="95"/>
      <c r="N75" s="104">
        <v>4.8</v>
      </c>
      <c r="O75" s="112">
        <v>7.4999999999999997E-3</v>
      </c>
      <c r="P75" s="80"/>
      <c r="Q75" t="s">
        <v>160</v>
      </c>
    </row>
    <row r="76" spans="1:19" x14ac:dyDescent="0.25">
      <c r="B76">
        <v>56</v>
      </c>
      <c r="C76">
        <v>195</v>
      </c>
      <c r="D76">
        <v>1640</v>
      </c>
      <c r="E76">
        <v>1800</v>
      </c>
      <c r="G76" t="s">
        <v>241</v>
      </c>
      <c r="J76" s="84">
        <v>27</v>
      </c>
      <c r="K76" s="80"/>
      <c r="L76" s="96">
        <v>1.24</v>
      </c>
      <c r="M76" s="95"/>
      <c r="N76" s="104">
        <v>4.8</v>
      </c>
      <c r="O76" s="112">
        <v>6.4000000000000003E-3</v>
      </c>
      <c r="P76" s="80"/>
      <c r="Q76" t="s">
        <v>160</v>
      </c>
    </row>
    <row r="77" spans="1:19" x14ac:dyDescent="0.25">
      <c r="A77" s="1">
        <v>41681</v>
      </c>
      <c r="B77" s="44">
        <v>57</v>
      </c>
      <c r="C77" s="44">
        <v>195</v>
      </c>
      <c r="D77" s="44">
        <v>835</v>
      </c>
      <c r="E77" s="44">
        <v>910</v>
      </c>
      <c r="F77" s="44"/>
      <c r="G77" s="44" t="s">
        <v>164</v>
      </c>
      <c r="H77" s="44"/>
      <c r="I77" s="44"/>
      <c r="J77" s="86">
        <v>25</v>
      </c>
      <c r="K77" s="87"/>
      <c r="L77" s="101">
        <v>1.2</v>
      </c>
      <c r="M77" s="105"/>
      <c r="N77" s="106">
        <v>5.5</v>
      </c>
      <c r="O77" s="117"/>
      <c r="P77" s="87"/>
      <c r="Q77" s="44" t="s">
        <v>160</v>
      </c>
      <c r="R77" s="44"/>
      <c r="S77" s="44"/>
    </row>
    <row r="78" spans="1:19" x14ac:dyDescent="0.25">
      <c r="B78" s="44">
        <v>58</v>
      </c>
      <c r="C78" s="44">
        <v>155</v>
      </c>
      <c r="D78" s="44">
        <v>915</v>
      </c>
      <c r="E78" s="44">
        <v>1040</v>
      </c>
      <c r="F78" s="44"/>
      <c r="G78" s="44" t="s">
        <v>242</v>
      </c>
      <c r="H78" s="44"/>
      <c r="I78" s="44"/>
      <c r="J78" s="86">
        <v>26</v>
      </c>
      <c r="K78" s="87"/>
      <c r="L78" s="101">
        <v>0.79</v>
      </c>
      <c r="M78" s="105"/>
      <c r="N78" s="106">
        <v>5.5</v>
      </c>
      <c r="O78" s="117">
        <v>6.8999999999999999E-3</v>
      </c>
      <c r="P78" s="87"/>
      <c r="Q78" s="44" t="s">
        <v>160</v>
      </c>
      <c r="R78" s="44"/>
      <c r="S78" s="44"/>
    </row>
    <row r="79" spans="1:19" ht="15.75" thickBot="1" x14ac:dyDescent="0.3">
      <c r="B79">
        <v>59</v>
      </c>
      <c r="C79">
        <v>155</v>
      </c>
      <c r="D79">
        <v>1040</v>
      </c>
      <c r="E79">
        <v>1425</v>
      </c>
      <c r="G79" t="s">
        <v>243</v>
      </c>
      <c r="J79" s="88">
        <v>20</v>
      </c>
      <c r="K79" s="89"/>
      <c r="L79" s="109">
        <v>1</v>
      </c>
      <c r="M79" s="110"/>
      <c r="N79" s="111">
        <v>5.5</v>
      </c>
      <c r="O79" s="118"/>
      <c r="P79" s="89"/>
      <c r="Q79" t="s">
        <v>160</v>
      </c>
    </row>
    <row r="80" spans="1:19" x14ac:dyDescent="0.25">
      <c r="J80" s="53"/>
    </row>
    <row r="81" spans="10:10" x14ac:dyDescent="0.25">
      <c r="J81" s="53"/>
    </row>
    <row r="82" spans="10:10" x14ac:dyDescent="0.25">
      <c r="J82" s="53"/>
    </row>
    <row r="83" spans="10:10" x14ac:dyDescent="0.25">
      <c r="J83" s="53"/>
    </row>
    <row r="84" spans="10:10" x14ac:dyDescent="0.25">
      <c r="J84" s="53"/>
    </row>
    <row r="85" spans="10:10" x14ac:dyDescent="0.25">
      <c r="J85" s="53"/>
    </row>
    <row r="86" spans="10:10" x14ac:dyDescent="0.25">
      <c r="J86" s="53"/>
    </row>
    <row r="87" spans="10:10" x14ac:dyDescent="0.25">
      <c r="J87" s="53"/>
    </row>
    <row r="88" spans="10:10" x14ac:dyDescent="0.25">
      <c r="J88" s="53"/>
    </row>
    <row r="89" spans="10:10" x14ac:dyDescent="0.25">
      <c r="J89" s="53"/>
    </row>
    <row r="90" spans="10:10" x14ac:dyDescent="0.25">
      <c r="J90" s="53"/>
    </row>
    <row r="91" spans="10:10" x14ac:dyDescent="0.25">
      <c r="J91" s="53"/>
    </row>
    <row r="92" spans="10:10" x14ac:dyDescent="0.25">
      <c r="J92" s="53"/>
    </row>
    <row r="93" spans="10:10" x14ac:dyDescent="0.25">
      <c r="J93" s="53"/>
    </row>
    <row r="94" spans="10:10" x14ac:dyDescent="0.25">
      <c r="J94" s="53"/>
    </row>
    <row r="95" spans="10:10" x14ac:dyDescent="0.25">
      <c r="J95" s="53"/>
    </row>
    <row r="96" spans="10:10" x14ac:dyDescent="0.25">
      <c r="J96" s="53"/>
    </row>
    <row r="97" spans="10:10" x14ac:dyDescent="0.25">
      <c r="J97" s="53"/>
    </row>
    <row r="98" spans="10:10" x14ac:dyDescent="0.25">
      <c r="J98" s="53"/>
    </row>
    <row r="99" spans="10:10" x14ac:dyDescent="0.25">
      <c r="J99" s="53"/>
    </row>
    <row r="100" spans="10:10" x14ac:dyDescent="0.25">
      <c r="J100" s="53"/>
    </row>
    <row r="101" spans="10:10" x14ac:dyDescent="0.25">
      <c r="J101" s="53"/>
    </row>
    <row r="102" spans="10:10" x14ac:dyDescent="0.25">
      <c r="J102" s="53"/>
    </row>
    <row r="103" spans="10:10" x14ac:dyDescent="0.25">
      <c r="J103" s="53"/>
    </row>
    <row r="104" spans="10:10" x14ac:dyDescent="0.25">
      <c r="J104" s="53"/>
    </row>
    <row r="105" spans="10:10" x14ac:dyDescent="0.25">
      <c r="J105" s="53"/>
    </row>
    <row r="106" spans="10:10" x14ac:dyDescent="0.25">
      <c r="J106" s="53"/>
    </row>
  </sheetData>
  <sheetProtection password="C7EE" sheet="1" objects="1" scenarios="1"/>
  <pageMargins left="0.2" right="0.2" top="0.5" bottom="0.15" header="0.3" footer="0.05"/>
  <pageSetup paperSize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95"/>
  <sheetViews>
    <sheetView workbookViewId="0">
      <selection activeCell="A10" sqref="A10"/>
    </sheetView>
  </sheetViews>
  <sheetFormatPr defaultRowHeight="15" x14ac:dyDescent="0.25"/>
  <cols>
    <col min="1" max="1" width="12.7109375" style="6" bestFit="1" customWidth="1"/>
    <col min="2" max="6" width="9.140625" style="6"/>
    <col min="7" max="7" width="10" style="6" bestFit="1" customWidth="1"/>
    <col min="8" max="10" width="9.140625" style="6"/>
    <col min="11" max="11" width="10.7109375" style="6" customWidth="1"/>
    <col min="12" max="20" width="9.140625" style="6"/>
    <col min="21" max="21" width="9.5703125" style="6" bestFit="1" customWidth="1"/>
    <col min="22" max="22" width="13.42578125" style="6" customWidth="1"/>
    <col min="23" max="23" width="15" style="6" customWidth="1"/>
    <col min="24" max="28" width="9.140625" style="6"/>
    <col min="29" max="29" width="13.7109375" style="6" customWidth="1"/>
    <col min="30" max="30" width="10.42578125" style="6" customWidth="1"/>
    <col min="31" max="33" width="9.140625" style="6"/>
    <col min="34" max="34" width="13.5703125" style="6" customWidth="1"/>
    <col min="35" max="16384" width="9.140625" style="6"/>
  </cols>
  <sheetData>
    <row r="1" spans="1:34" ht="23.25" x14ac:dyDescent="0.35">
      <c r="A1" s="5" t="s">
        <v>327</v>
      </c>
      <c r="B1" s="5"/>
      <c r="S1" s="7" t="s">
        <v>72</v>
      </c>
      <c r="T1" s="8"/>
      <c r="U1" s="9"/>
      <c r="V1" s="10" t="s">
        <v>73</v>
      </c>
      <c r="W1" s="10" t="s">
        <v>73</v>
      </c>
      <c r="X1" s="13" t="s">
        <v>74</v>
      </c>
      <c r="Y1" s="55"/>
      <c r="Z1" s="7" t="s">
        <v>72</v>
      </c>
      <c r="AA1" s="8"/>
      <c r="AB1" s="9"/>
      <c r="AC1" s="10" t="s">
        <v>73</v>
      </c>
      <c r="AD1" s="10" t="s">
        <v>73</v>
      </c>
      <c r="AE1" s="64" t="s">
        <v>10</v>
      </c>
      <c r="AF1" s="14"/>
      <c r="AG1" s="14"/>
      <c r="AH1" s="12"/>
    </row>
    <row r="2" spans="1:34" ht="21" x14ac:dyDescent="0.35">
      <c r="A2" s="42" t="s">
        <v>174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S2" s="16" t="s">
        <v>75</v>
      </c>
      <c r="T2" s="17"/>
      <c r="U2" s="18"/>
      <c r="V2" s="56" t="s">
        <v>295</v>
      </c>
      <c r="W2" s="56" t="s">
        <v>76</v>
      </c>
      <c r="X2" s="19" t="s">
        <v>77</v>
      </c>
      <c r="Y2" s="20"/>
      <c r="Z2" s="16" t="s">
        <v>78</v>
      </c>
      <c r="AA2" s="17"/>
      <c r="AB2" s="18"/>
      <c r="AC2" s="56" t="s">
        <v>76</v>
      </c>
      <c r="AD2" s="59" t="s">
        <v>263</v>
      </c>
      <c r="AE2" s="57"/>
      <c r="AH2" s="22"/>
    </row>
    <row r="3" spans="1:34" ht="21" x14ac:dyDescent="0.35">
      <c r="A3" s="15" t="s">
        <v>328</v>
      </c>
      <c r="B3" s="15"/>
      <c r="J3" s="23" t="s">
        <v>79</v>
      </c>
      <c r="K3" s="23" t="s">
        <v>79</v>
      </c>
      <c r="L3" s="23" t="s">
        <v>80</v>
      </c>
      <c r="M3" s="23"/>
      <c r="N3" s="23" t="s">
        <v>80</v>
      </c>
      <c r="O3" s="23" t="s">
        <v>80</v>
      </c>
      <c r="P3" s="23" t="s">
        <v>80</v>
      </c>
      <c r="Q3" s="23" t="s">
        <v>80</v>
      </c>
      <c r="S3" s="24" t="s">
        <v>81</v>
      </c>
      <c r="T3" s="58" t="s">
        <v>81</v>
      </c>
      <c r="U3" s="26" t="s">
        <v>81</v>
      </c>
      <c r="V3" s="59" t="s">
        <v>246</v>
      </c>
      <c r="W3" s="60" t="s">
        <v>82</v>
      </c>
      <c r="X3" s="21" t="s">
        <v>83</v>
      </c>
      <c r="Y3" s="26" t="s">
        <v>84</v>
      </c>
      <c r="Z3" s="21" t="s">
        <v>81</v>
      </c>
      <c r="AA3" s="58" t="s">
        <v>81</v>
      </c>
      <c r="AB3" s="26" t="s">
        <v>81</v>
      </c>
      <c r="AC3" s="59" t="s">
        <v>85</v>
      </c>
      <c r="AD3" s="59" t="s">
        <v>81</v>
      </c>
      <c r="AE3" s="57"/>
      <c r="AH3" s="22"/>
    </row>
    <row r="4" spans="1:34" x14ac:dyDescent="0.25">
      <c r="E4" s="23" t="s">
        <v>86</v>
      </c>
      <c r="F4" s="23" t="s">
        <v>86</v>
      </c>
      <c r="G4" s="23" t="s">
        <v>86</v>
      </c>
      <c r="H4" s="23" t="s">
        <v>86</v>
      </c>
      <c r="I4" s="23" t="s">
        <v>86</v>
      </c>
      <c r="J4" s="27" t="s">
        <v>87</v>
      </c>
      <c r="K4" s="23" t="s">
        <v>88</v>
      </c>
      <c r="L4" s="23" t="s">
        <v>89</v>
      </c>
      <c r="M4" s="23"/>
      <c r="N4" s="23" t="s">
        <v>90</v>
      </c>
      <c r="O4" s="23" t="s">
        <v>91</v>
      </c>
      <c r="P4" s="23" t="s">
        <v>12</v>
      </c>
      <c r="Q4" s="23" t="s">
        <v>92</v>
      </c>
      <c r="S4" s="24" t="s">
        <v>93</v>
      </c>
      <c r="T4" s="58" t="s">
        <v>94</v>
      </c>
      <c r="U4" s="26" t="s">
        <v>94</v>
      </c>
      <c r="V4" s="59" t="s">
        <v>94</v>
      </c>
      <c r="W4" s="59" t="s">
        <v>94</v>
      </c>
      <c r="X4" s="21" t="s">
        <v>95</v>
      </c>
      <c r="Y4" s="26" t="s">
        <v>95</v>
      </c>
      <c r="Z4" s="21" t="s">
        <v>93</v>
      </c>
      <c r="AA4" s="58" t="s">
        <v>12</v>
      </c>
      <c r="AB4" s="26" t="s">
        <v>12</v>
      </c>
      <c r="AC4" s="59" t="s">
        <v>294</v>
      </c>
      <c r="AD4" s="59" t="s">
        <v>276</v>
      </c>
      <c r="AE4" s="57"/>
      <c r="AH4" s="22"/>
    </row>
    <row r="5" spans="1:34" ht="15.75" thickBot="1" x14ac:dyDescent="0.3">
      <c r="A5" s="6" t="s">
        <v>135</v>
      </c>
      <c r="D5" s="6" t="s">
        <v>80</v>
      </c>
      <c r="E5" s="23" t="s">
        <v>65</v>
      </c>
      <c r="F5" s="23" t="s">
        <v>66</v>
      </c>
      <c r="G5" s="23" t="s">
        <v>96</v>
      </c>
      <c r="H5" s="23" t="s">
        <v>97</v>
      </c>
      <c r="I5" s="23" t="s">
        <v>98</v>
      </c>
      <c r="J5" s="27" t="s">
        <v>99</v>
      </c>
      <c r="K5" s="28" t="s">
        <v>100</v>
      </c>
      <c r="L5" s="23" t="s">
        <v>101</v>
      </c>
      <c r="M5" s="23"/>
      <c r="N5" s="23" t="s">
        <v>102</v>
      </c>
      <c r="O5" s="23" t="s">
        <v>103</v>
      </c>
      <c r="P5" s="23" t="s">
        <v>103</v>
      </c>
      <c r="Q5" s="23" t="s">
        <v>102</v>
      </c>
      <c r="S5" s="29" t="s">
        <v>104</v>
      </c>
      <c r="T5" s="61" t="s">
        <v>105</v>
      </c>
      <c r="U5" s="33" t="s">
        <v>106</v>
      </c>
      <c r="V5" s="62" t="s">
        <v>106</v>
      </c>
      <c r="W5" s="62" t="s">
        <v>106</v>
      </c>
      <c r="X5" s="32" t="s">
        <v>106</v>
      </c>
      <c r="Y5" s="33" t="s">
        <v>106</v>
      </c>
      <c r="Z5" s="32" t="s">
        <v>104</v>
      </c>
      <c r="AA5" s="61" t="s">
        <v>105</v>
      </c>
      <c r="AB5" s="33" t="s">
        <v>107</v>
      </c>
      <c r="AC5" s="62" t="s">
        <v>107</v>
      </c>
      <c r="AD5" s="62" t="s">
        <v>293</v>
      </c>
      <c r="AE5" s="63"/>
      <c r="AF5" s="34"/>
      <c r="AG5" s="34"/>
      <c r="AH5" s="35"/>
    </row>
    <row r="6" spans="1:34" x14ac:dyDescent="0.25">
      <c r="A6" s="41">
        <v>920</v>
      </c>
      <c r="B6" s="36">
        <v>1022</v>
      </c>
      <c r="D6" s="6" t="s">
        <v>116</v>
      </c>
      <c r="E6" s="6">
        <v>297806</v>
      </c>
      <c r="F6" s="6">
        <v>474060</v>
      </c>
      <c r="G6" s="6">
        <v>870609</v>
      </c>
      <c r="H6" s="6">
        <v>399557</v>
      </c>
      <c r="I6" s="6">
        <v>412064</v>
      </c>
      <c r="R6" s="37" t="s">
        <v>108</v>
      </c>
      <c r="S6" s="66"/>
      <c r="T6" s="75"/>
      <c r="U6" s="121">
        <v>2E-3</v>
      </c>
      <c r="V6" s="122">
        <v>2E-3</v>
      </c>
      <c r="W6" s="123">
        <v>2E-3</v>
      </c>
      <c r="X6" s="121">
        <v>0.74</v>
      </c>
      <c r="Y6" s="123">
        <v>0.74</v>
      </c>
      <c r="Z6" s="23"/>
      <c r="AA6" s="23"/>
      <c r="AB6" s="124">
        <v>1.2</v>
      </c>
      <c r="AC6" s="124">
        <v>1.2</v>
      </c>
      <c r="AD6" s="124">
        <v>1.2</v>
      </c>
      <c r="AE6" s="136" t="s">
        <v>109</v>
      </c>
      <c r="AF6" s="136"/>
      <c r="AG6" s="136"/>
      <c r="AH6" s="136"/>
    </row>
    <row r="7" spans="1:34" x14ac:dyDescent="0.25">
      <c r="E7" s="6">
        <v>297806</v>
      </c>
      <c r="F7" s="6">
        <v>474060</v>
      </c>
      <c r="G7" s="6">
        <v>870843</v>
      </c>
      <c r="H7" s="6">
        <v>399905</v>
      </c>
      <c r="I7" s="6">
        <v>412407</v>
      </c>
      <c r="N7" s="23"/>
      <c r="O7" s="23"/>
      <c r="P7" s="23"/>
      <c r="Q7" s="23"/>
      <c r="S7" s="24"/>
      <c r="T7" s="25"/>
      <c r="U7" s="24"/>
      <c r="V7" s="23"/>
      <c r="W7" s="25"/>
      <c r="X7" s="24"/>
      <c r="Y7" s="69"/>
      <c r="Z7" s="23"/>
      <c r="AA7" s="23"/>
      <c r="AB7" s="24"/>
      <c r="AC7" s="23"/>
      <c r="AD7" s="22"/>
      <c r="AE7" s="125" t="s">
        <v>110</v>
      </c>
      <c r="AF7" s="125"/>
      <c r="AG7" s="125"/>
      <c r="AH7" s="125"/>
    </row>
    <row r="8" spans="1:34" x14ac:dyDescent="0.25">
      <c r="D8" s="6" t="s">
        <v>111</v>
      </c>
      <c r="E8" s="6">
        <f>+E7-E6</f>
        <v>0</v>
      </c>
      <c r="F8" s="6">
        <f>+F7-F6</f>
        <v>0</v>
      </c>
      <c r="G8" s="6">
        <f>+G7-G6</f>
        <v>234</v>
      </c>
      <c r="H8" s="6">
        <f>+H7-H6</f>
        <v>348</v>
      </c>
      <c r="I8" s="6">
        <f>+I7-I6</f>
        <v>343</v>
      </c>
      <c r="J8" s="6">
        <f>SUM(E8:I8)</f>
        <v>925</v>
      </c>
      <c r="N8" s="23"/>
      <c r="O8" s="23"/>
      <c r="P8" s="23"/>
      <c r="Q8" s="23"/>
      <c r="S8" s="24"/>
      <c r="T8" s="25"/>
      <c r="U8" s="24"/>
      <c r="V8" s="23"/>
      <c r="W8" s="25"/>
      <c r="X8" s="24"/>
      <c r="Y8" s="69"/>
      <c r="Z8" s="23"/>
      <c r="AA8" s="23"/>
      <c r="AB8" s="24"/>
      <c r="AC8" s="23"/>
      <c r="AD8" s="22"/>
      <c r="AE8" s="149" t="s">
        <v>329</v>
      </c>
      <c r="AF8" s="148"/>
      <c r="AG8" s="148"/>
      <c r="AH8" s="148"/>
    </row>
    <row r="9" spans="1:34" x14ac:dyDescent="0.25">
      <c r="D9" s="6" t="s">
        <v>112</v>
      </c>
      <c r="J9" s="6">
        <v>8684</v>
      </c>
      <c r="L9" s="6" t="s">
        <v>245</v>
      </c>
      <c r="N9" s="23">
        <v>0.26</v>
      </c>
      <c r="O9" s="39">
        <v>25</v>
      </c>
      <c r="P9" s="23">
        <v>3.3000000000000002E-2</v>
      </c>
      <c r="Q9" s="23">
        <v>5.41</v>
      </c>
      <c r="S9" s="24">
        <f>+J8*100</f>
        <v>92500</v>
      </c>
      <c r="T9" s="25">
        <f>+O9*1.02843*S9/1000000</f>
        <v>2.3782443749999995</v>
      </c>
      <c r="U9" s="135">
        <f>+T9/J10</f>
        <v>2.9607035928143708E-3</v>
      </c>
      <c r="V9" s="23" t="s">
        <v>113</v>
      </c>
      <c r="W9" s="25" t="s">
        <v>113</v>
      </c>
      <c r="X9" s="126">
        <f>(+N9)*(2*0.95*10000)/J9</f>
        <v>0.56886227544910184</v>
      </c>
      <c r="Y9" s="127">
        <v>0.54</v>
      </c>
      <c r="Z9" s="23">
        <f>+J8*100</f>
        <v>92500</v>
      </c>
      <c r="AA9" s="23">
        <f>+P9*Z9/1000000</f>
        <v>3.0525000000000001E-3</v>
      </c>
      <c r="AB9" s="71">
        <f>+AA9/J10*1000000</f>
        <v>3.8000921234454172</v>
      </c>
      <c r="AC9" s="23" t="s">
        <v>113</v>
      </c>
      <c r="AD9" s="25" t="s">
        <v>113</v>
      </c>
      <c r="AE9" s="152" t="s">
        <v>330</v>
      </c>
      <c r="AF9" s="152"/>
      <c r="AG9" s="152"/>
      <c r="AH9" s="152"/>
    </row>
    <row r="10" spans="1:34" x14ac:dyDescent="0.25">
      <c r="D10" s="6" t="s">
        <v>114</v>
      </c>
      <c r="J10" s="6">
        <f>+(J8*100*J9)/1000000</f>
        <v>803.27</v>
      </c>
      <c r="N10" s="23"/>
      <c r="O10" s="23"/>
      <c r="P10" s="23"/>
      <c r="Q10" s="23"/>
      <c r="S10" s="24"/>
      <c r="T10" s="25"/>
      <c r="U10" s="24"/>
      <c r="V10" s="23"/>
      <c r="W10" s="25"/>
      <c r="X10" s="24"/>
      <c r="Y10" s="69"/>
      <c r="Z10" s="23"/>
      <c r="AA10" s="23"/>
      <c r="AB10" s="24"/>
      <c r="AC10" s="23"/>
      <c r="AD10" s="22"/>
    </row>
    <row r="11" spans="1:34" x14ac:dyDescent="0.25">
      <c r="D11" s="6" t="s">
        <v>115</v>
      </c>
      <c r="J11" s="6">
        <f>+(J8*100*J9)/1000000/62*60</f>
        <v>777.35806451612893</v>
      </c>
      <c r="K11" s="41" t="s">
        <v>113</v>
      </c>
      <c r="N11" s="23"/>
      <c r="O11" s="23"/>
      <c r="P11" s="23"/>
      <c r="Q11" s="23"/>
      <c r="S11" s="24"/>
      <c r="T11" s="25"/>
      <c r="U11" s="24"/>
      <c r="V11" s="23"/>
      <c r="W11" s="25"/>
      <c r="X11" s="24"/>
      <c r="Y11" s="69"/>
      <c r="Z11" s="23"/>
      <c r="AA11" s="23"/>
      <c r="AB11" s="24"/>
      <c r="AC11" s="23"/>
      <c r="AD11" s="22"/>
    </row>
    <row r="12" spans="1:34" x14ac:dyDescent="0.25">
      <c r="N12" s="23"/>
      <c r="O12" s="23"/>
      <c r="P12" s="23"/>
      <c r="Q12" s="23"/>
      <c r="S12" s="24"/>
      <c r="T12" s="25"/>
      <c r="U12" s="24"/>
      <c r="V12" s="23"/>
      <c r="W12" s="25"/>
      <c r="X12" s="24"/>
      <c r="Y12" s="69"/>
      <c r="Z12" s="23"/>
      <c r="AA12" s="23"/>
      <c r="AB12" s="24"/>
      <c r="AC12" s="23"/>
      <c r="AD12" s="22"/>
    </row>
    <row r="13" spans="1:34" x14ac:dyDescent="0.25">
      <c r="A13" s="6" t="s">
        <v>136</v>
      </c>
      <c r="D13" s="6" t="s">
        <v>80</v>
      </c>
      <c r="N13" s="23"/>
      <c r="O13" s="23"/>
      <c r="P13" s="23"/>
      <c r="Q13" s="23"/>
      <c r="S13" s="24"/>
      <c r="T13" s="25"/>
      <c r="U13" s="24"/>
      <c r="V13" s="23"/>
      <c r="W13" s="25"/>
      <c r="X13" s="24"/>
      <c r="Y13" s="69"/>
      <c r="Z13" s="23"/>
      <c r="AA13" s="23"/>
      <c r="AB13" s="24"/>
      <c r="AC13" s="23"/>
      <c r="AD13" s="22"/>
    </row>
    <row r="14" spans="1:34" x14ac:dyDescent="0.25">
      <c r="A14" s="36">
        <v>1510</v>
      </c>
      <c r="B14" s="36">
        <v>1820</v>
      </c>
      <c r="D14" s="6" t="s">
        <v>137</v>
      </c>
      <c r="E14" s="6">
        <v>298589</v>
      </c>
      <c r="F14" s="6">
        <v>474902</v>
      </c>
      <c r="G14" s="6">
        <v>872297</v>
      </c>
      <c r="H14" s="6">
        <v>401633</v>
      </c>
      <c r="I14" s="6">
        <v>414137</v>
      </c>
      <c r="N14" s="23"/>
      <c r="O14" s="23"/>
      <c r="P14" s="23"/>
      <c r="Q14" s="23"/>
      <c r="S14" s="24"/>
      <c r="T14" s="25"/>
      <c r="U14" s="24"/>
      <c r="V14" s="23"/>
      <c r="W14" s="25"/>
      <c r="X14" s="24"/>
      <c r="Y14" s="69"/>
      <c r="Z14" s="23"/>
      <c r="AA14" s="23"/>
      <c r="AB14" s="24"/>
      <c r="AC14" s="23"/>
      <c r="AD14" s="22"/>
    </row>
    <row r="15" spans="1:34" x14ac:dyDescent="0.25">
      <c r="A15" s="6" t="s">
        <v>146</v>
      </c>
      <c r="E15" s="6">
        <v>300041</v>
      </c>
      <c r="F15" s="6">
        <v>476055</v>
      </c>
      <c r="G15" s="6">
        <v>873743</v>
      </c>
      <c r="H15" s="6">
        <v>403092</v>
      </c>
      <c r="I15" s="6">
        <v>415584</v>
      </c>
      <c r="N15" s="23"/>
      <c r="O15" s="23"/>
      <c r="P15" s="23"/>
      <c r="Q15" s="23"/>
      <c r="S15" s="24"/>
      <c r="T15" s="25"/>
      <c r="U15" s="24"/>
      <c r="V15" s="23"/>
      <c r="W15" s="25"/>
      <c r="X15" s="24"/>
      <c r="Y15" s="69"/>
      <c r="Z15" s="23"/>
      <c r="AA15" s="23"/>
      <c r="AB15" s="24"/>
      <c r="AC15" s="23"/>
      <c r="AD15" s="22"/>
    </row>
    <row r="16" spans="1:34" x14ac:dyDescent="0.25">
      <c r="D16" s="6" t="s">
        <v>111</v>
      </c>
      <c r="E16" s="6">
        <f>+E15-E14</f>
        <v>1452</v>
      </c>
      <c r="F16" s="6">
        <f>+F15-F14</f>
        <v>1153</v>
      </c>
      <c r="G16" s="6">
        <f>+G15-G14</f>
        <v>1446</v>
      </c>
      <c r="H16" s="6">
        <f>+H15-H14</f>
        <v>1459</v>
      </c>
      <c r="I16" s="6">
        <f>+I15-I14</f>
        <v>1447</v>
      </c>
      <c r="J16" s="6">
        <f>SUM(E16:I16)</f>
        <v>6957</v>
      </c>
      <c r="N16" s="23"/>
      <c r="O16" s="23"/>
      <c r="P16" s="23"/>
      <c r="Q16" s="23"/>
      <c r="S16" s="24"/>
      <c r="T16" s="25"/>
      <c r="U16" s="24"/>
      <c r="V16" s="23"/>
      <c r="W16" s="25"/>
      <c r="X16" s="24"/>
      <c r="Y16" s="69"/>
      <c r="Z16" s="23"/>
      <c r="AA16" s="23"/>
      <c r="AB16" s="24"/>
      <c r="AC16" s="23"/>
      <c r="AD16" s="22"/>
    </row>
    <row r="17" spans="1:30" x14ac:dyDescent="0.25">
      <c r="D17" s="6" t="s">
        <v>112</v>
      </c>
      <c r="J17" s="6">
        <v>8684</v>
      </c>
      <c r="L17" s="6" t="s">
        <v>245</v>
      </c>
      <c r="N17" s="23">
        <v>0.26</v>
      </c>
      <c r="O17" s="39">
        <v>25</v>
      </c>
      <c r="P17" s="23">
        <v>3.3000000000000002E-2</v>
      </c>
      <c r="Q17" s="23">
        <v>5.41</v>
      </c>
      <c r="S17" s="24">
        <f>+J16*100</f>
        <v>695700</v>
      </c>
      <c r="T17" s="25">
        <f>+O17*1.02843*S17/1000000</f>
        <v>17.886968775</v>
      </c>
      <c r="U17" s="135">
        <f>+T17/J18</f>
        <v>2.9607035928143712E-3</v>
      </c>
      <c r="V17" s="23" t="s">
        <v>113</v>
      </c>
      <c r="W17" s="25" t="s">
        <v>113</v>
      </c>
      <c r="X17" s="126">
        <f>(+N17)*(2*0.95*10000)/J17</f>
        <v>0.56886227544910184</v>
      </c>
      <c r="Y17" s="127">
        <v>0.47</v>
      </c>
      <c r="Z17" s="23">
        <f>+J16*100</f>
        <v>695700</v>
      </c>
      <c r="AA17" s="23">
        <f>+P17*Z17/1000000</f>
        <v>2.2958100000000002E-2</v>
      </c>
      <c r="AB17" s="71">
        <f>+AA17/J18*1000000</f>
        <v>3.8000921234454172</v>
      </c>
      <c r="AC17" s="23" t="s">
        <v>113</v>
      </c>
      <c r="AD17" s="128">
        <v>0.56000000000000005</v>
      </c>
    </row>
    <row r="18" spans="1:30" x14ac:dyDescent="0.25">
      <c r="D18" s="6" t="s">
        <v>114</v>
      </c>
      <c r="J18" s="6">
        <f>+(J16*100*J17)/1000000</f>
        <v>6041.4588000000003</v>
      </c>
      <c r="N18" s="23"/>
      <c r="O18" s="23"/>
      <c r="P18" s="23"/>
      <c r="Q18" s="23"/>
      <c r="S18" s="24"/>
      <c r="T18" s="25"/>
      <c r="U18" s="24"/>
      <c r="V18" s="23"/>
      <c r="W18" s="25"/>
      <c r="X18" s="24"/>
      <c r="Y18" s="69"/>
      <c r="Z18" s="23"/>
      <c r="AA18" s="23"/>
      <c r="AB18" s="24"/>
      <c r="AC18" s="23"/>
      <c r="AD18" s="22"/>
    </row>
    <row r="19" spans="1:30" x14ac:dyDescent="0.25">
      <c r="D19" s="6" t="s">
        <v>115</v>
      </c>
      <c r="J19" s="6">
        <f>+(J16*100*J17)/1000000/200*60</f>
        <v>1812.4376400000001</v>
      </c>
      <c r="K19" s="41" t="s">
        <v>113</v>
      </c>
      <c r="N19" s="23"/>
      <c r="O19" s="23"/>
      <c r="P19" s="23"/>
      <c r="Q19" s="23"/>
      <c r="S19" s="24"/>
      <c r="T19" s="25"/>
      <c r="U19" s="24"/>
      <c r="V19" s="23"/>
      <c r="W19" s="25"/>
      <c r="X19" s="24"/>
      <c r="Y19" s="69"/>
      <c r="Z19" s="23"/>
      <c r="AA19" s="23"/>
      <c r="AB19" s="24"/>
      <c r="AC19" s="23"/>
      <c r="AD19" s="22"/>
    </row>
    <row r="20" spans="1:30" ht="21" x14ac:dyDescent="0.35">
      <c r="A20" s="15" t="s">
        <v>302</v>
      </c>
      <c r="B20" s="15"/>
      <c r="N20" s="23"/>
      <c r="O20" s="23"/>
      <c r="P20" s="23"/>
      <c r="Q20" s="23"/>
      <c r="S20" s="24"/>
      <c r="T20" s="25"/>
      <c r="U20" s="24"/>
      <c r="V20" s="23"/>
      <c r="W20" s="25"/>
      <c r="X20" s="24"/>
      <c r="Y20" s="69"/>
      <c r="Z20" s="23"/>
      <c r="AA20" s="23"/>
      <c r="AB20" s="24"/>
      <c r="AC20" s="23"/>
      <c r="AD20" s="22"/>
    </row>
    <row r="21" spans="1:30" x14ac:dyDescent="0.25">
      <c r="A21" s="6" t="s">
        <v>138</v>
      </c>
      <c r="D21" s="6" t="s">
        <v>80</v>
      </c>
      <c r="N21" s="23"/>
      <c r="O21" s="23"/>
      <c r="P21" s="23"/>
      <c r="Q21" s="23"/>
      <c r="S21" s="24"/>
      <c r="T21" s="25"/>
      <c r="U21" s="24"/>
      <c r="V21" s="23"/>
      <c r="W21" s="25"/>
      <c r="X21" s="24"/>
      <c r="Y21" s="69"/>
      <c r="Z21" s="23"/>
      <c r="AA21" s="23"/>
      <c r="AB21" s="24"/>
      <c r="AC21" s="23"/>
      <c r="AD21" s="22"/>
    </row>
    <row r="22" spans="1:30" x14ac:dyDescent="0.25">
      <c r="A22" s="41">
        <v>840</v>
      </c>
      <c r="B22" s="41">
        <v>1255</v>
      </c>
      <c r="D22" s="6" t="s">
        <v>123</v>
      </c>
      <c r="E22" s="6">
        <v>303102</v>
      </c>
      <c r="F22" s="6">
        <v>480911</v>
      </c>
      <c r="G22" s="6">
        <v>878610</v>
      </c>
      <c r="H22" s="6">
        <v>407957</v>
      </c>
      <c r="I22" s="6">
        <v>420438</v>
      </c>
      <c r="N22" s="23"/>
      <c r="O22" s="23"/>
      <c r="P22" s="23"/>
      <c r="Q22" s="23"/>
      <c r="S22" s="24"/>
      <c r="T22" s="25"/>
      <c r="U22" s="24"/>
      <c r="V22" s="23"/>
      <c r="W22" s="25"/>
      <c r="X22" s="24"/>
      <c r="Y22" s="69"/>
      <c r="Z22" s="23"/>
      <c r="AA22" s="23"/>
      <c r="AB22" s="24"/>
      <c r="AC22" s="23"/>
      <c r="AD22" s="22"/>
    </row>
    <row r="23" spans="1:30" x14ac:dyDescent="0.25">
      <c r="A23" s="6" t="s">
        <v>147</v>
      </c>
      <c r="E23" s="6">
        <v>304997</v>
      </c>
      <c r="F23" s="6">
        <v>482804</v>
      </c>
      <c r="G23" s="6">
        <v>880511</v>
      </c>
      <c r="H23" s="6">
        <v>409854</v>
      </c>
      <c r="I23" s="6">
        <v>422333</v>
      </c>
      <c r="N23" s="23"/>
      <c r="O23" s="23"/>
      <c r="P23" s="23"/>
      <c r="Q23" s="23"/>
      <c r="S23" s="24"/>
      <c r="T23" s="25"/>
      <c r="U23" s="24"/>
      <c r="V23" s="23"/>
      <c r="W23" s="25"/>
      <c r="X23" s="24"/>
      <c r="Y23" s="69"/>
      <c r="Z23" s="23"/>
      <c r="AA23" s="23"/>
      <c r="AB23" s="24"/>
      <c r="AC23" s="23"/>
      <c r="AD23" s="22"/>
    </row>
    <row r="24" spans="1:30" x14ac:dyDescent="0.25">
      <c r="D24" s="6" t="s">
        <v>111</v>
      </c>
      <c r="E24" s="6">
        <f>+E23-E22</f>
        <v>1895</v>
      </c>
      <c r="F24" s="6">
        <f>+F23-F22</f>
        <v>1893</v>
      </c>
      <c r="G24" s="6">
        <f>+G23-G22</f>
        <v>1901</v>
      </c>
      <c r="H24" s="6">
        <f>+H23-H22</f>
        <v>1897</v>
      </c>
      <c r="I24" s="6">
        <f>+I23-I22</f>
        <v>1895</v>
      </c>
      <c r="J24" s="6">
        <f>SUM(E24:I24)</f>
        <v>9481</v>
      </c>
      <c r="N24" s="23"/>
      <c r="O24" s="23"/>
      <c r="P24" s="23"/>
      <c r="Q24" s="23"/>
      <c r="S24" s="24"/>
      <c r="T24" s="25"/>
      <c r="U24" s="24"/>
      <c r="V24" s="23"/>
      <c r="W24" s="25"/>
      <c r="X24" s="24"/>
      <c r="Y24" s="69"/>
      <c r="Z24" s="23"/>
      <c r="AA24" s="23"/>
      <c r="AB24" s="24"/>
      <c r="AC24" s="23"/>
      <c r="AD24" s="22"/>
    </row>
    <row r="25" spans="1:30" x14ac:dyDescent="0.25">
      <c r="D25" s="6" t="s">
        <v>112</v>
      </c>
      <c r="J25" s="6">
        <v>8684</v>
      </c>
      <c r="L25" s="6" t="s">
        <v>245</v>
      </c>
      <c r="N25" s="23">
        <v>0.26</v>
      </c>
      <c r="O25" s="39">
        <v>25</v>
      </c>
      <c r="P25" s="23">
        <v>3.3000000000000002E-2</v>
      </c>
      <c r="Q25" s="23">
        <v>5.41</v>
      </c>
      <c r="S25" s="24">
        <f>+J24*100</f>
        <v>948100</v>
      </c>
      <c r="T25" s="25">
        <f>+O25*1.02843*S25/1000000</f>
        <v>24.376362074999999</v>
      </c>
      <c r="U25" s="135">
        <f>+T25/J26</f>
        <v>2.9607035928143712E-3</v>
      </c>
      <c r="V25" s="23" t="s">
        <v>113</v>
      </c>
      <c r="W25" s="25" t="s">
        <v>113</v>
      </c>
      <c r="X25" s="126">
        <f>(+N25)*(2*0.95*10000)/J25</f>
        <v>0.56886227544910184</v>
      </c>
      <c r="Y25" s="127">
        <v>0.51</v>
      </c>
      <c r="Z25" s="23">
        <f>+J24*100</f>
        <v>948100</v>
      </c>
      <c r="AA25" s="23">
        <f>+P25*Z25/1000000</f>
        <v>3.1287300000000004E-2</v>
      </c>
      <c r="AB25" s="71">
        <f>+AA25/J26*1000000</f>
        <v>3.8000921234454172</v>
      </c>
      <c r="AC25" s="23" t="s">
        <v>113</v>
      </c>
      <c r="AD25" s="142">
        <v>1.26</v>
      </c>
    </row>
    <row r="26" spans="1:30" x14ac:dyDescent="0.25">
      <c r="D26" s="6" t="s">
        <v>114</v>
      </c>
      <c r="J26" s="6">
        <f>+(J24*100*J25)/1000000</f>
        <v>8233.3004000000001</v>
      </c>
      <c r="N26" s="23"/>
      <c r="O26" s="23"/>
      <c r="P26" s="23"/>
      <c r="Q26" s="23"/>
      <c r="S26" s="24"/>
      <c r="T26" s="25"/>
      <c r="U26" s="24"/>
      <c r="V26" s="23"/>
      <c r="W26" s="25"/>
      <c r="X26" s="24"/>
      <c r="Y26" s="69"/>
      <c r="Z26" s="23"/>
      <c r="AA26" s="23"/>
      <c r="AB26" s="24"/>
      <c r="AC26" s="23"/>
      <c r="AD26" s="22"/>
    </row>
    <row r="27" spans="1:30" x14ac:dyDescent="0.25">
      <c r="D27" s="6" t="s">
        <v>115</v>
      </c>
      <c r="J27" s="6">
        <f>+(J24*100*J25)/1000000/255*60</f>
        <v>1937.2471529411764</v>
      </c>
      <c r="K27" s="41" t="s">
        <v>113</v>
      </c>
      <c r="N27" s="23"/>
      <c r="O27" s="23"/>
      <c r="P27" s="23"/>
      <c r="Q27" s="23"/>
      <c r="S27" s="24"/>
      <c r="T27" s="25"/>
      <c r="U27" s="24"/>
      <c r="V27" s="23"/>
      <c r="W27" s="25"/>
      <c r="X27" s="24"/>
      <c r="Y27" s="69"/>
      <c r="Z27" s="23"/>
      <c r="AA27" s="23"/>
      <c r="AB27" s="24"/>
      <c r="AC27" s="23"/>
      <c r="AD27" s="22"/>
    </row>
    <row r="28" spans="1:30" x14ac:dyDescent="0.25">
      <c r="N28" s="23"/>
      <c r="O28" s="23"/>
      <c r="P28" s="23"/>
      <c r="Q28" s="23"/>
      <c r="S28" s="24"/>
      <c r="T28" s="25"/>
      <c r="U28" s="24"/>
      <c r="V28" s="23"/>
      <c r="W28" s="25"/>
      <c r="X28" s="24"/>
      <c r="Y28" s="69"/>
      <c r="Z28" s="23"/>
      <c r="AA28" s="23"/>
      <c r="AB28" s="24"/>
      <c r="AC28" s="23"/>
      <c r="AD28" s="22"/>
    </row>
    <row r="29" spans="1:30" ht="21" x14ac:dyDescent="0.35">
      <c r="A29" s="15" t="s">
        <v>303</v>
      </c>
      <c r="B29" s="15"/>
      <c r="N29" s="23"/>
      <c r="O29" s="23"/>
      <c r="P29" s="23"/>
      <c r="Q29" s="23"/>
      <c r="S29" s="24"/>
      <c r="T29" s="25"/>
      <c r="U29" s="24"/>
      <c r="V29" s="40"/>
      <c r="W29" s="68"/>
      <c r="X29" s="24"/>
      <c r="Y29" s="69"/>
      <c r="Z29" s="23"/>
      <c r="AA29" s="23"/>
      <c r="AB29" s="72"/>
      <c r="AC29" s="38"/>
      <c r="AD29" s="22"/>
    </row>
    <row r="30" spans="1:30" x14ac:dyDescent="0.25">
      <c r="A30" s="6" t="s">
        <v>139</v>
      </c>
      <c r="D30" s="6" t="s">
        <v>80</v>
      </c>
      <c r="N30" s="23"/>
      <c r="O30" s="23"/>
      <c r="P30" s="23"/>
      <c r="Q30" s="23"/>
      <c r="S30" s="24"/>
      <c r="T30" s="25"/>
      <c r="U30" s="24"/>
      <c r="V30" s="23"/>
      <c r="W30" s="25"/>
      <c r="X30" s="24"/>
      <c r="Y30" s="69"/>
      <c r="Z30" s="23"/>
      <c r="AA30" s="23"/>
      <c r="AB30" s="24"/>
      <c r="AC30" s="23"/>
      <c r="AD30" s="22"/>
    </row>
    <row r="31" spans="1:30" x14ac:dyDescent="0.25">
      <c r="A31" s="41">
        <v>920</v>
      </c>
      <c r="B31" s="41">
        <v>1024</v>
      </c>
      <c r="D31" s="6" t="s">
        <v>123</v>
      </c>
      <c r="E31" s="6">
        <v>307390</v>
      </c>
      <c r="F31" s="6">
        <v>488354</v>
      </c>
      <c r="G31" s="6">
        <v>887830</v>
      </c>
      <c r="H31" s="6">
        <v>417170</v>
      </c>
      <c r="I31" s="6">
        <v>429602</v>
      </c>
      <c r="N31" s="23"/>
      <c r="O31" s="23"/>
      <c r="P31" s="23"/>
      <c r="Q31" s="23"/>
      <c r="S31" s="24"/>
      <c r="T31" s="25"/>
      <c r="U31" s="24"/>
      <c r="V31" s="23"/>
      <c r="W31" s="25"/>
      <c r="X31" s="24"/>
      <c r="Y31" s="69"/>
      <c r="Z31" s="23"/>
      <c r="AA31" s="23"/>
      <c r="AB31" s="24"/>
      <c r="AC31" s="23"/>
      <c r="AD31" s="22"/>
    </row>
    <row r="32" spans="1:30" x14ac:dyDescent="0.25">
      <c r="A32" s="6" t="s">
        <v>140</v>
      </c>
      <c r="E32" s="6">
        <v>307915</v>
      </c>
      <c r="F32" s="6">
        <v>488859</v>
      </c>
      <c r="G32" s="6">
        <v>888336</v>
      </c>
      <c r="H32" s="6">
        <v>417676</v>
      </c>
      <c r="I32" s="6">
        <v>430109</v>
      </c>
      <c r="N32" s="23"/>
      <c r="O32" s="23"/>
      <c r="P32" s="23"/>
      <c r="Q32" s="23"/>
      <c r="S32" s="24"/>
      <c r="T32" s="25"/>
      <c r="U32" s="24"/>
      <c r="V32" s="23"/>
      <c r="W32" s="25"/>
      <c r="X32" s="24"/>
      <c r="Y32" s="69"/>
      <c r="Z32" s="23"/>
      <c r="AA32" s="23"/>
      <c r="AB32" s="24"/>
      <c r="AC32" s="23"/>
      <c r="AD32" s="22"/>
    </row>
    <row r="33" spans="1:30" x14ac:dyDescent="0.25">
      <c r="A33" s="6" t="s">
        <v>141</v>
      </c>
      <c r="D33" s="6" t="s">
        <v>111</v>
      </c>
      <c r="E33" s="6">
        <f>+E32-E31</f>
        <v>525</v>
      </c>
      <c r="F33" s="6">
        <f>+F32-F31</f>
        <v>505</v>
      </c>
      <c r="G33" s="6">
        <f>+G32-G31</f>
        <v>506</v>
      </c>
      <c r="H33" s="6">
        <f>+H32-H31</f>
        <v>506</v>
      </c>
      <c r="I33" s="6">
        <f>+I32-I31</f>
        <v>507</v>
      </c>
      <c r="J33" s="6">
        <f>SUM(E33:I33)</f>
        <v>2549</v>
      </c>
      <c r="N33" s="23"/>
      <c r="O33" s="23"/>
      <c r="P33" s="23"/>
      <c r="Q33" s="23"/>
      <c r="S33" s="24"/>
      <c r="T33" s="25"/>
      <c r="U33" s="24"/>
      <c r="V33" s="23"/>
      <c r="W33" s="25"/>
      <c r="X33" s="24"/>
      <c r="Y33" s="69"/>
      <c r="Z33" s="23"/>
      <c r="AA33" s="23"/>
      <c r="AB33" s="24"/>
      <c r="AC33" s="23"/>
      <c r="AD33" s="22"/>
    </row>
    <row r="34" spans="1:30" x14ac:dyDescent="0.25">
      <c r="D34" s="6" t="s">
        <v>112</v>
      </c>
      <c r="J34" s="6">
        <v>9156</v>
      </c>
      <c r="L34" s="6" t="s">
        <v>247</v>
      </c>
      <c r="N34" s="23">
        <v>0.3</v>
      </c>
      <c r="O34" s="23">
        <v>26</v>
      </c>
      <c r="P34" s="23">
        <v>4.8000000000000001E-2</v>
      </c>
      <c r="Q34" s="23">
        <v>4.6100000000000003</v>
      </c>
      <c r="S34" s="24">
        <f>+J33*100</f>
        <v>254900</v>
      </c>
      <c r="T34" s="25">
        <f>+O34*1.02843*S34/1000000</f>
        <v>6.8158169819999985</v>
      </c>
      <c r="U34" s="137">
        <f>+T34/J35</f>
        <v>2.9203997378768015E-3</v>
      </c>
      <c r="V34" s="23" t="s">
        <v>113</v>
      </c>
      <c r="W34" s="25" t="s">
        <v>113</v>
      </c>
      <c r="X34" s="126">
        <f>(+N34)*(2*0.95*10000)/J34</f>
        <v>0.62254259501965925</v>
      </c>
      <c r="Y34" s="127">
        <v>0.5</v>
      </c>
      <c r="Z34" s="23">
        <f>+J33*100</f>
        <v>254900</v>
      </c>
      <c r="AA34" s="23">
        <f>+P34*Z34/1000000</f>
        <v>1.22352E-2</v>
      </c>
      <c r="AB34" s="71">
        <f>+AA34/J35*1000000</f>
        <v>5.2424639580602888</v>
      </c>
      <c r="AC34" s="23" t="s">
        <v>113</v>
      </c>
      <c r="AD34" s="142">
        <v>5.92</v>
      </c>
    </row>
    <row r="35" spans="1:30" x14ac:dyDescent="0.25">
      <c r="D35" s="6" t="s">
        <v>114</v>
      </c>
      <c r="J35" s="6">
        <f>+(J33*100*J34)/1000000</f>
        <v>2333.8643999999999</v>
      </c>
      <c r="N35" s="23"/>
      <c r="O35" s="23"/>
      <c r="P35" s="23"/>
      <c r="Q35" s="23"/>
      <c r="S35" s="24"/>
      <c r="T35" s="25"/>
      <c r="U35" s="24"/>
      <c r="V35" s="23"/>
      <c r="W35" s="25"/>
      <c r="X35" s="24"/>
      <c r="Y35" s="69"/>
      <c r="Z35" s="23"/>
      <c r="AA35" s="23"/>
      <c r="AB35" s="24"/>
      <c r="AC35" s="23"/>
      <c r="AD35" s="22"/>
    </row>
    <row r="36" spans="1:30" x14ac:dyDescent="0.25">
      <c r="D36" s="6" t="s">
        <v>115</v>
      </c>
      <c r="J36" s="6">
        <f>+(J33*100*J34)/1000000/64*60</f>
        <v>2187.997875</v>
      </c>
      <c r="K36" s="41">
        <v>1977</v>
      </c>
      <c r="N36" s="23"/>
      <c r="O36" s="23"/>
      <c r="P36" s="23"/>
      <c r="Q36" s="23"/>
      <c r="S36" s="24"/>
      <c r="T36" s="25"/>
      <c r="U36" s="24"/>
      <c r="V36" s="23"/>
      <c r="W36" s="25"/>
      <c r="X36" s="24"/>
      <c r="Y36" s="69"/>
      <c r="Z36" s="23"/>
      <c r="AA36" s="23"/>
      <c r="AB36" s="24"/>
      <c r="AC36" s="23"/>
      <c r="AD36" s="22"/>
    </row>
    <row r="37" spans="1:30" x14ac:dyDescent="0.25">
      <c r="N37" s="23"/>
      <c r="O37" s="23"/>
      <c r="P37" s="23"/>
      <c r="Q37" s="23"/>
      <c r="S37" s="24"/>
      <c r="T37" s="25"/>
      <c r="U37" s="24"/>
      <c r="V37" s="23"/>
      <c r="W37" s="25"/>
      <c r="X37" s="24"/>
      <c r="Y37" s="69"/>
      <c r="Z37" s="23"/>
      <c r="AA37" s="23"/>
      <c r="AB37" s="24"/>
      <c r="AC37" s="23"/>
      <c r="AD37" s="22"/>
    </row>
    <row r="38" spans="1:30" x14ac:dyDescent="0.25">
      <c r="N38" s="23"/>
      <c r="O38" s="23"/>
      <c r="P38" s="23"/>
      <c r="Q38" s="23"/>
      <c r="S38" s="24"/>
      <c r="T38" s="25"/>
      <c r="U38" s="24"/>
      <c r="V38" s="23"/>
      <c r="W38" s="25"/>
      <c r="X38" s="70"/>
      <c r="Y38" s="69"/>
      <c r="Z38" s="23"/>
      <c r="AA38" s="23"/>
      <c r="AB38" s="24"/>
      <c r="AC38" s="23"/>
      <c r="AD38" s="73"/>
    </row>
    <row r="39" spans="1:30" x14ac:dyDescent="0.25">
      <c r="A39" s="6" t="s">
        <v>142</v>
      </c>
      <c r="D39" s="6" t="s">
        <v>80</v>
      </c>
      <c r="N39" s="23"/>
      <c r="O39" s="23"/>
      <c r="P39" s="23"/>
      <c r="Q39" s="23"/>
      <c r="S39" s="24"/>
      <c r="T39" s="25"/>
      <c r="U39" s="24"/>
      <c r="V39" s="23"/>
      <c r="W39" s="25"/>
      <c r="X39" s="24"/>
      <c r="Y39" s="69"/>
      <c r="Z39" s="23"/>
      <c r="AA39" s="23"/>
      <c r="AB39" s="24"/>
      <c r="AC39" s="23"/>
      <c r="AD39" s="22"/>
    </row>
    <row r="40" spans="1:30" x14ac:dyDescent="0.25">
      <c r="A40" s="41">
        <v>1205</v>
      </c>
      <c r="B40" s="41">
        <v>1310</v>
      </c>
      <c r="D40" s="6" t="s">
        <v>123</v>
      </c>
      <c r="E40" s="6">
        <v>308667</v>
      </c>
      <c r="F40" s="6">
        <v>489579</v>
      </c>
      <c r="G40" s="6">
        <v>889059</v>
      </c>
      <c r="H40" s="6">
        <v>418399</v>
      </c>
      <c r="I40" s="6">
        <v>436831</v>
      </c>
      <c r="N40" s="23"/>
      <c r="O40" s="23"/>
      <c r="P40" s="23"/>
      <c r="Q40" s="23"/>
      <c r="S40" s="24"/>
      <c r="T40" s="25"/>
      <c r="U40" s="24"/>
      <c r="V40" s="23"/>
      <c r="W40" s="25"/>
      <c r="X40" s="24"/>
      <c r="Y40" s="69"/>
      <c r="Z40" s="23"/>
      <c r="AA40" s="23"/>
      <c r="AB40" s="24"/>
      <c r="AC40" s="23"/>
      <c r="AD40" s="22"/>
    </row>
    <row r="41" spans="1:30" x14ac:dyDescent="0.25">
      <c r="A41" s="6" t="s">
        <v>144</v>
      </c>
      <c r="E41" s="6">
        <v>309182</v>
      </c>
      <c r="F41" s="6">
        <v>490075</v>
      </c>
      <c r="G41" s="6">
        <v>889556</v>
      </c>
      <c r="H41" s="6">
        <v>418897</v>
      </c>
      <c r="I41" s="6">
        <v>437327</v>
      </c>
      <c r="N41" s="23"/>
      <c r="O41" s="23"/>
      <c r="P41" s="23"/>
      <c r="Q41" s="23"/>
      <c r="S41" s="24"/>
      <c r="T41" s="25"/>
      <c r="U41" s="24"/>
      <c r="V41" s="23"/>
      <c r="W41" s="25"/>
      <c r="X41" s="24"/>
      <c r="Y41" s="69"/>
      <c r="Z41" s="23"/>
      <c r="AA41" s="23"/>
      <c r="AB41" s="24"/>
      <c r="AC41" s="23"/>
      <c r="AD41" s="22"/>
    </row>
    <row r="42" spans="1:30" x14ac:dyDescent="0.25">
      <c r="D42" s="6" t="s">
        <v>111</v>
      </c>
      <c r="E42" s="6">
        <f>+E41-E40</f>
        <v>515</v>
      </c>
      <c r="F42" s="6">
        <f>+F41-F40</f>
        <v>496</v>
      </c>
      <c r="G42" s="6">
        <f>+G41-G40</f>
        <v>497</v>
      </c>
      <c r="H42" s="6">
        <f>+H41-H40</f>
        <v>498</v>
      </c>
      <c r="I42" s="6">
        <f>+I41-I40</f>
        <v>496</v>
      </c>
      <c r="J42" s="6">
        <f>SUM(E42:I42)</f>
        <v>2502</v>
      </c>
      <c r="N42" s="23"/>
      <c r="O42" s="23"/>
      <c r="P42" s="23"/>
      <c r="Q42" s="23"/>
      <c r="S42" s="24"/>
      <c r="T42" s="25"/>
      <c r="U42" s="24"/>
      <c r="V42" s="23"/>
      <c r="W42" s="25"/>
      <c r="X42" s="24"/>
      <c r="Y42" s="69"/>
      <c r="Z42" s="23"/>
      <c r="AA42" s="23"/>
      <c r="AB42" s="24"/>
      <c r="AC42" s="23"/>
      <c r="AD42" s="22"/>
    </row>
    <row r="43" spans="1:30" x14ac:dyDescent="0.25">
      <c r="D43" s="6" t="s">
        <v>112</v>
      </c>
      <c r="J43" s="6">
        <v>9156</v>
      </c>
      <c r="L43" s="6" t="s">
        <v>247</v>
      </c>
      <c r="N43" s="23">
        <v>0.3</v>
      </c>
      <c r="O43" s="23">
        <v>26</v>
      </c>
      <c r="P43" s="23">
        <v>4.8000000000000001E-2</v>
      </c>
      <c r="Q43" s="23">
        <v>4.6100000000000003</v>
      </c>
      <c r="S43" s="24">
        <f>+J42*100</f>
        <v>250200</v>
      </c>
      <c r="T43" s="25">
        <f>+O43*1.02843*S43/1000000</f>
        <v>6.6901428359999988</v>
      </c>
      <c r="U43" s="135">
        <f>+T43/J44</f>
        <v>2.9203997378768015E-3</v>
      </c>
      <c r="V43" s="23" t="s">
        <v>113</v>
      </c>
      <c r="W43" s="25" t="s">
        <v>113</v>
      </c>
      <c r="X43" s="126">
        <f>(+N43)*(2*0.95*10000)/J43</f>
        <v>0.62254259501965925</v>
      </c>
      <c r="Y43" s="127">
        <v>0.51</v>
      </c>
      <c r="Z43" s="23">
        <f>+J42*100</f>
        <v>250200</v>
      </c>
      <c r="AA43" s="23">
        <f>+P43*Z43/1000000</f>
        <v>1.20096E-2</v>
      </c>
      <c r="AB43" s="71">
        <f>+AA43/J44*1000000</f>
        <v>5.2424639580602888</v>
      </c>
      <c r="AC43" s="23" t="s">
        <v>113</v>
      </c>
      <c r="AD43" s="142">
        <v>1.75</v>
      </c>
    </row>
    <row r="44" spans="1:30" x14ac:dyDescent="0.25">
      <c r="D44" s="6" t="s">
        <v>114</v>
      </c>
      <c r="J44" s="6">
        <f>+(J42*100*J43)/1000000</f>
        <v>2290.8312000000001</v>
      </c>
      <c r="N44" s="23"/>
      <c r="O44" s="23"/>
      <c r="P44" s="23"/>
      <c r="Q44" s="23"/>
      <c r="S44" s="24"/>
      <c r="T44" s="25"/>
      <c r="U44" s="24"/>
      <c r="V44" s="23"/>
      <c r="W44" s="25"/>
      <c r="X44" s="24"/>
      <c r="Y44" s="69"/>
      <c r="Z44" s="23"/>
      <c r="AA44" s="23"/>
      <c r="AB44" s="24"/>
      <c r="AC44" s="23"/>
      <c r="AD44" s="22"/>
    </row>
    <row r="45" spans="1:30" x14ac:dyDescent="0.25">
      <c r="D45" s="6" t="s">
        <v>115</v>
      </c>
      <c r="J45" s="6">
        <f>+(J42*100*J43)/1000000/65*60</f>
        <v>2114.6134153846156</v>
      </c>
      <c r="K45" s="41">
        <v>1905</v>
      </c>
      <c r="N45" s="23"/>
      <c r="O45" s="23"/>
      <c r="P45" s="23"/>
      <c r="Q45" s="23"/>
      <c r="S45" s="24"/>
      <c r="T45" s="25"/>
      <c r="U45" s="24"/>
      <c r="V45" s="23"/>
      <c r="W45" s="25"/>
      <c r="X45" s="24"/>
      <c r="Y45" s="69"/>
      <c r="Z45" s="23"/>
      <c r="AA45" s="23"/>
      <c r="AB45" s="24"/>
      <c r="AC45" s="23"/>
      <c r="AD45" s="22"/>
    </row>
    <row r="46" spans="1:30" x14ac:dyDescent="0.25">
      <c r="N46" s="23"/>
      <c r="O46" s="23"/>
      <c r="P46" s="23"/>
      <c r="Q46" s="23"/>
      <c r="S46" s="24"/>
      <c r="T46" s="25"/>
      <c r="U46" s="24"/>
      <c r="V46" s="23"/>
      <c r="W46" s="25"/>
      <c r="X46" s="24"/>
      <c r="Y46" s="69"/>
      <c r="Z46" s="23"/>
      <c r="AA46" s="23"/>
      <c r="AB46" s="24"/>
      <c r="AC46" s="23"/>
      <c r="AD46" s="22"/>
    </row>
    <row r="47" spans="1:30" x14ac:dyDescent="0.25">
      <c r="A47" s="6" t="s">
        <v>143</v>
      </c>
      <c r="D47" s="6" t="s">
        <v>80</v>
      </c>
      <c r="N47" s="23"/>
      <c r="O47" s="23"/>
      <c r="P47" s="23"/>
      <c r="Q47" s="23"/>
      <c r="S47" s="24"/>
      <c r="T47" s="25"/>
      <c r="U47" s="24"/>
      <c r="V47" s="23"/>
      <c r="W47" s="25"/>
      <c r="X47" s="24"/>
      <c r="Y47" s="69"/>
      <c r="Z47" s="23"/>
      <c r="AA47" s="23"/>
      <c r="AB47" s="24"/>
      <c r="AC47" s="23"/>
      <c r="AD47" s="22"/>
    </row>
    <row r="48" spans="1:30" x14ac:dyDescent="0.25">
      <c r="A48" s="41">
        <v>1415</v>
      </c>
      <c r="B48" s="41">
        <v>1455</v>
      </c>
      <c r="D48" s="6" t="s">
        <v>123</v>
      </c>
      <c r="E48" s="6">
        <v>309688</v>
      </c>
      <c r="F48" s="6">
        <v>490560</v>
      </c>
      <c r="G48" s="6">
        <v>890041</v>
      </c>
      <c r="H48" s="6">
        <v>419382</v>
      </c>
      <c r="I48" s="6">
        <v>431810</v>
      </c>
      <c r="N48" s="23"/>
      <c r="O48" s="23"/>
      <c r="P48" s="23"/>
      <c r="Q48" s="23"/>
      <c r="S48" s="24"/>
      <c r="T48" s="25"/>
      <c r="U48" s="24"/>
      <c r="V48" s="23"/>
      <c r="W48" s="25"/>
      <c r="X48" s="24"/>
      <c r="Y48" s="69"/>
      <c r="Z48" s="23"/>
      <c r="AA48" s="23"/>
      <c r="AB48" s="24"/>
      <c r="AC48" s="23"/>
      <c r="AD48" s="22"/>
    </row>
    <row r="49" spans="1:31" x14ac:dyDescent="0.25">
      <c r="A49" s="6" t="s">
        <v>145</v>
      </c>
      <c r="E49" s="6">
        <v>309986</v>
      </c>
      <c r="F49" s="6">
        <v>490847</v>
      </c>
      <c r="G49" s="6">
        <v>890307</v>
      </c>
      <c r="H49" s="6">
        <v>419669</v>
      </c>
      <c r="I49" s="6">
        <v>432097</v>
      </c>
      <c r="N49" s="23"/>
      <c r="O49" s="23"/>
      <c r="P49" s="23"/>
      <c r="Q49" s="23"/>
      <c r="S49" s="24"/>
      <c r="T49" s="25"/>
      <c r="U49" s="24"/>
      <c r="V49" s="23"/>
      <c r="W49" s="25"/>
      <c r="X49" s="24"/>
      <c r="Y49" s="69"/>
      <c r="Z49" s="23"/>
      <c r="AA49" s="23"/>
      <c r="AB49" s="24"/>
      <c r="AC49" s="23"/>
      <c r="AD49" s="22"/>
    </row>
    <row r="50" spans="1:31" x14ac:dyDescent="0.25">
      <c r="A50" s="6" t="s">
        <v>184</v>
      </c>
      <c r="D50" s="6" t="s">
        <v>111</v>
      </c>
      <c r="E50" s="6">
        <f>+E49-E48</f>
        <v>298</v>
      </c>
      <c r="F50" s="6">
        <f>+F49-F48</f>
        <v>287</v>
      </c>
      <c r="G50" s="6">
        <f>+G49-G48</f>
        <v>266</v>
      </c>
      <c r="H50" s="6">
        <f>+H49-H48</f>
        <v>287</v>
      </c>
      <c r="I50" s="6">
        <f>+I49-I48</f>
        <v>287</v>
      </c>
      <c r="J50" s="6">
        <f>SUM(E50:I50)</f>
        <v>1425</v>
      </c>
      <c r="N50" s="23"/>
      <c r="O50" s="23"/>
      <c r="P50" s="23"/>
      <c r="Q50" s="23"/>
      <c r="S50" s="24"/>
      <c r="T50" s="25"/>
      <c r="U50" s="24"/>
      <c r="V50" s="23"/>
      <c r="W50" s="25"/>
      <c r="X50" s="24"/>
      <c r="Y50" s="69"/>
      <c r="Z50" s="23"/>
      <c r="AA50" s="23"/>
      <c r="AB50" s="24"/>
      <c r="AC50" s="23"/>
      <c r="AD50" s="22"/>
    </row>
    <row r="51" spans="1:31" x14ac:dyDescent="0.25">
      <c r="D51" s="6" t="s">
        <v>112</v>
      </c>
      <c r="J51" s="6">
        <v>9156</v>
      </c>
      <c r="L51" s="6" t="s">
        <v>247</v>
      </c>
      <c r="N51" s="23">
        <v>0.3</v>
      </c>
      <c r="O51" s="23">
        <v>26</v>
      </c>
      <c r="P51" s="23">
        <v>4.8000000000000001E-2</v>
      </c>
      <c r="Q51" s="23">
        <v>4.6100000000000003</v>
      </c>
      <c r="S51" s="24">
        <f>+J50*100</f>
        <v>142500</v>
      </c>
      <c r="T51" s="25">
        <f>+O51*1.02843*S51/1000000</f>
        <v>3.8103331499999995</v>
      </c>
      <c r="U51" s="135">
        <f>+T51/J52</f>
        <v>2.9203997378768015E-3</v>
      </c>
      <c r="V51" s="23" t="s">
        <v>113</v>
      </c>
      <c r="W51" s="25" t="s">
        <v>113</v>
      </c>
      <c r="X51" s="126">
        <f>(+N51)*(2*0.95*10000)/J51</f>
        <v>0.62254259501965925</v>
      </c>
      <c r="Y51" s="127">
        <v>0.52</v>
      </c>
      <c r="Z51" s="23">
        <f>+J50*100</f>
        <v>142500</v>
      </c>
      <c r="AA51" s="23">
        <f>+P51*Z51/1000000</f>
        <v>6.8399999999999997E-3</v>
      </c>
      <c r="AB51" s="71">
        <f>+AA51/J52*1000000</f>
        <v>5.2424639580602879</v>
      </c>
      <c r="AC51" s="23" t="s">
        <v>113</v>
      </c>
      <c r="AD51" s="142">
        <v>3.13</v>
      </c>
      <c r="AE51" s="6" t="s">
        <v>292</v>
      </c>
    </row>
    <row r="52" spans="1:31" x14ac:dyDescent="0.25">
      <c r="D52" s="6" t="s">
        <v>114</v>
      </c>
      <c r="J52" s="6">
        <f>+(J50*100*J51)/1000000</f>
        <v>1304.73</v>
      </c>
      <c r="N52" s="23"/>
      <c r="O52" s="23"/>
      <c r="P52" s="23"/>
      <c r="Q52" s="23"/>
      <c r="S52" s="24"/>
      <c r="T52" s="25"/>
      <c r="U52" s="24"/>
      <c r="V52" s="23"/>
      <c r="W52" s="25"/>
      <c r="X52" s="24"/>
      <c r="Y52" s="69"/>
      <c r="Z52" s="23"/>
      <c r="AA52" s="23"/>
      <c r="AB52" s="24"/>
      <c r="AC52" s="23"/>
      <c r="AD52" s="22"/>
    </row>
    <row r="53" spans="1:31" x14ac:dyDescent="0.25">
      <c r="D53" s="6" t="s">
        <v>115</v>
      </c>
      <c r="J53" s="6">
        <f>+(J50*100*J51)/1000000/40*60</f>
        <v>1957.0950000000003</v>
      </c>
      <c r="K53" s="41" t="s">
        <v>113</v>
      </c>
      <c r="N53" s="23"/>
      <c r="O53" s="23"/>
      <c r="P53" s="23"/>
      <c r="Q53" s="23"/>
      <c r="S53" s="24"/>
      <c r="T53" s="25"/>
      <c r="U53" s="24"/>
      <c r="V53" s="23"/>
      <c r="W53" s="25"/>
      <c r="X53" s="24"/>
      <c r="Y53" s="69"/>
      <c r="Z53" s="23"/>
      <c r="AA53" s="23"/>
      <c r="AB53" s="24"/>
      <c r="AC53" s="23"/>
      <c r="AD53" s="22"/>
    </row>
    <row r="54" spans="1:31" x14ac:dyDescent="0.25">
      <c r="K54" s="41"/>
      <c r="N54" s="23"/>
      <c r="O54" s="23"/>
      <c r="P54" s="23"/>
      <c r="Q54" s="23"/>
      <c r="S54" s="24"/>
      <c r="T54" s="25"/>
      <c r="U54" s="24"/>
      <c r="V54" s="23"/>
      <c r="W54" s="25"/>
      <c r="X54" s="24"/>
      <c r="Y54" s="69"/>
      <c r="Z54" s="23"/>
      <c r="AA54" s="23"/>
      <c r="AB54" s="24"/>
      <c r="AC54" s="23"/>
      <c r="AD54" s="22"/>
    </row>
    <row r="55" spans="1:31" ht="21" x14ac:dyDescent="0.35">
      <c r="A55" s="15" t="s">
        <v>304</v>
      </c>
      <c r="B55" s="15"/>
      <c r="N55" s="23"/>
      <c r="O55" s="23"/>
      <c r="P55" s="23"/>
      <c r="Q55" s="23"/>
      <c r="S55" s="24"/>
      <c r="T55" s="25"/>
      <c r="U55" s="24"/>
      <c r="V55" s="40"/>
      <c r="W55" s="68"/>
      <c r="X55" s="24"/>
      <c r="Y55" s="69"/>
      <c r="Z55" s="23"/>
      <c r="AA55" s="23"/>
      <c r="AB55" s="72"/>
      <c r="AC55" s="38"/>
      <c r="AD55" s="22"/>
    </row>
    <row r="56" spans="1:31" x14ac:dyDescent="0.25">
      <c r="A56" s="6" t="s">
        <v>185</v>
      </c>
      <c r="D56" s="6" t="s">
        <v>80</v>
      </c>
      <c r="N56" s="23"/>
      <c r="O56" s="23"/>
      <c r="P56" s="23"/>
      <c r="Q56" s="23"/>
      <c r="S56" s="24"/>
      <c r="T56" s="25"/>
      <c r="U56" s="24"/>
      <c r="V56" s="23"/>
      <c r="W56" s="25"/>
      <c r="X56" s="24"/>
      <c r="Y56" s="69"/>
      <c r="Z56" s="23"/>
      <c r="AA56" s="23"/>
      <c r="AB56" s="24"/>
      <c r="AC56" s="23"/>
      <c r="AD56" s="22"/>
    </row>
    <row r="57" spans="1:31" x14ac:dyDescent="0.25">
      <c r="A57" s="41">
        <v>1050</v>
      </c>
      <c r="B57" s="41">
        <v>1148</v>
      </c>
      <c r="D57" s="6" t="s">
        <v>123</v>
      </c>
      <c r="E57" s="6">
        <v>313922</v>
      </c>
      <c r="F57" s="6">
        <v>495965</v>
      </c>
      <c r="G57" s="6">
        <v>897205</v>
      </c>
      <c r="H57" s="6">
        <v>426556</v>
      </c>
      <c r="I57" s="6">
        <v>438970</v>
      </c>
      <c r="N57" s="23"/>
      <c r="O57" s="23"/>
      <c r="P57" s="23"/>
      <c r="Q57" s="23"/>
      <c r="S57" s="24"/>
      <c r="T57" s="25"/>
      <c r="U57" s="24"/>
      <c r="V57" s="23"/>
      <c r="W57" s="25"/>
      <c r="X57" s="24"/>
      <c r="Y57" s="69"/>
      <c r="Z57" s="23"/>
      <c r="AA57" s="23"/>
      <c r="AB57" s="24"/>
      <c r="AC57" s="23"/>
      <c r="AD57" s="22"/>
    </row>
    <row r="58" spans="1:31" x14ac:dyDescent="0.25">
      <c r="A58" s="6" t="s">
        <v>186</v>
      </c>
      <c r="E58" s="6">
        <v>314400</v>
      </c>
      <c r="F58" s="6">
        <v>496300</v>
      </c>
      <c r="G58" s="6">
        <v>897605</v>
      </c>
      <c r="H58" s="6">
        <v>426900</v>
      </c>
      <c r="I58" s="6">
        <v>439350</v>
      </c>
      <c r="N58" s="23"/>
      <c r="O58" s="23"/>
      <c r="P58" s="23"/>
      <c r="Q58" s="23"/>
      <c r="S58" s="24"/>
      <c r="T58" s="25"/>
      <c r="U58" s="24"/>
      <c r="V58" s="23"/>
      <c r="W58" s="25"/>
      <c r="X58" s="24"/>
      <c r="Y58" s="69"/>
      <c r="Z58" s="23"/>
      <c r="AA58" s="23"/>
      <c r="AB58" s="24"/>
      <c r="AC58" s="23"/>
      <c r="AD58" s="22"/>
    </row>
    <row r="59" spans="1:31" x14ac:dyDescent="0.25">
      <c r="A59" s="6" t="s">
        <v>187</v>
      </c>
      <c r="D59" s="6" t="s">
        <v>111</v>
      </c>
      <c r="E59" s="6">
        <f>+E58-E57</f>
        <v>478</v>
      </c>
      <c r="F59" s="6">
        <f>+F58-F57</f>
        <v>335</v>
      </c>
      <c r="G59" s="6">
        <f>+G58-G57</f>
        <v>400</v>
      </c>
      <c r="H59" s="6">
        <f>+H58-H57</f>
        <v>344</v>
      </c>
      <c r="I59" s="6">
        <f>+I58-I57</f>
        <v>380</v>
      </c>
      <c r="J59" s="6">
        <f>SUM(E59:I59)</f>
        <v>1937</v>
      </c>
      <c r="N59" s="23"/>
      <c r="O59" s="23"/>
      <c r="P59" s="23"/>
      <c r="Q59" s="23"/>
      <c r="S59" s="24"/>
      <c r="T59" s="25"/>
      <c r="U59" s="24"/>
      <c r="V59" s="23"/>
      <c r="W59" s="25"/>
      <c r="X59" s="24"/>
      <c r="Y59" s="69"/>
      <c r="Z59" s="23"/>
      <c r="AA59" s="23"/>
      <c r="AB59" s="24"/>
      <c r="AC59" s="23"/>
      <c r="AD59" s="22"/>
    </row>
    <row r="60" spans="1:31" x14ac:dyDescent="0.25">
      <c r="D60" s="6" t="s">
        <v>112</v>
      </c>
      <c r="J60" s="6">
        <v>8894</v>
      </c>
      <c r="L60" s="6" t="s">
        <v>251</v>
      </c>
      <c r="N60" s="23">
        <v>0.28999999999999998</v>
      </c>
      <c r="O60" s="23">
        <v>83</v>
      </c>
      <c r="P60" s="23">
        <v>3.9E-2</v>
      </c>
      <c r="Q60" s="23">
        <v>5.61</v>
      </c>
      <c r="S60" s="24">
        <f>+J59*100</f>
        <v>193700</v>
      </c>
      <c r="T60" s="25">
        <f>+O60*1.02843*S60/1000000</f>
        <v>16.534171953000001</v>
      </c>
      <c r="U60" s="135">
        <f>+T60/J61</f>
        <v>9.5974465932089047E-3</v>
      </c>
      <c r="V60" s="23" t="s">
        <v>113</v>
      </c>
      <c r="W60" s="25" t="s">
        <v>113</v>
      </c>
      <c r="X60" s="126">
        <f>(+N60)*(2*0.95*10000)/J60</f>
        <v>0.6195187767033955</v>
      </c>
      <c r="Y60" s="127">
        <v>0.5</v>
      </c>
      <c r="Z60" s="23">
        <f>+J59*100</f>
        <v>193700</v>
      </c>
      <c r="AA60" s="23">
        <f>+P60*Z60/1000000</f>
        <v>7.5542999999999999E-3</v>
      </c>
      <c r="AB60" s="71">
        <f>+AA60/J61*1000000</f>
        <v>4.3849786372835622</v>
      </c>
      <c r="AC60" s="139">
        <v>3.52</v>
      </c>
      <c r="AD60" s="142">
        <v>2.59</v>
      </c>
    </row>
    <row r="61" spans="1:31" x14ac:dyDescent="0.25">
      <c r="D61" s="6" t="s">
        <v>114</v>
      </c>
      <c r="J61" s="6">
        <f>+(J59*100*J60)/1000000</f>
        <v>1722.7678000000001</v>
      </c>
      <c r="N61" s="23"/>
      <c r="O61" s="23"/>
      <c r="P61" s="23"/>
      <c r="Q61" s="23"/>
      <c r="S61" s="24"/>
      <c r="T61" s="25"/>
      <c r="U61" s="24"/>
      <c r="V61" s="23"/>
      <c r="W61" s="25"/>
      <c r="X61" s="24"/>
      <c r="Y61" s="69"/>
      <c r="Z61" s="23"/>
      <c r="AA61" s="23"/>
      <c r="AB61" s="24"/>
      <c r="AC61" s="23"/>
      <c r="AD61" s="22"/>
    </row>
    <row r="62" spans="1:31" x14ac:dyDescent="0.25">
      <c r="D62" s="6" t="s">
        <v>115</v>
      </c>
      <c r="J62" s="6">
        <f>+(J59*100*J60)/1000000/58*60</f>
        <v>1782.1735862068967</v>
      </c>
      <c r="K62" s="41" t="s">
        <v>113</v>
      </c>
      <c r="N62" s="23"/>
      <c r="O62" s="23"/>
      <c r="P62" s="23"/>
      <c r="Q62" s="23"/>
      <c r="S62" s="24"/>
      <c r="T62" s="25"/>
      <c r="U62" s="24"/>
      <c r="V62" s="23"/>
      <c r="W62" s="25"/>
      <c r="X62" s="24"/>
      <c r="Y62" s="69"/>
      <c r="Z62" s="23"/>
      <c r="AA62" s="23"/>
      <c r="AB62" s="24"/>
      <c r="AC62" s="23"/>
      <c r="AD62" s="22"/>
    </row>
    <row r="63" spans="1:31" x14ac:dyDescent="0.25">
      <c r="N63" s="23"/>
      <c r="O63" s="23"/>
      <c r="P63" s="23"/>
      <c r="Q63" s="23"/>
      <c r="S63" s="24"/>
      <c r="T63" s="25"/>
      <c r="U63" s="24"/>
      <c r="V63" s="23"/>
      <c r="W63" s="25"/>
      <c r="X63" s="70"/>
      <c r="Y63" s="69"/>
      <c r="Z63" s="23"/>
      <c r="AA63" s="23"/>
      <c r="AB63" s="24"/>
      <c r="AC63" s="23"/>
      <c r="AD63" s="73"/>
    </row>
    <row r="64" spans="1:31" x14ac:dyDescent="0.25">
      <c r="A64" s="6" t="s">
        <v>188</v>
      </c>
      <c r="D64" s="6" t="s">
        <v>80</v>
      </c>
      <c r="N64" s="23"/>
      <c r="O64" s="23"/>
      <c r="P64" s="23"/>
      <c r="Q64" s="23"/>
      <c r="S64" s="24"/>
      <c r="T64" s="25"/>
      <c r="U64" s="24"/>
      <c r="V64" s="23"/>
      <c r="W64" s="25"/>
      <c r="X64" s="24"/>
      <c r="Y64" s="69"/>
      <c r="Z64" s="23"/>
      <c r="AA64" s="23"/>
      <c r="AB64" s="24"/>
      <c r="AC64" s="23"/>
      <c r="AD64" s="22"/>
    </row>
    <row r="65" spans="1:30" x14ac:dyDescent="0.25">
      <c r="A65" s="41">
        <v>1530</v>
      </c>
      <c r="B65" s="41">
        <v>1553</v>
      </c>
      <c r="D65" s="6" t="s">
        <v>123</v>
      </c>
      <c r="E65" s="6">
        <v>315915</v>
      </c>
      <c r="F65" s="6">
        <v>496614</v>
      </c>
      <c r="G65" s="6">
        <v>899235</v>
      </c>
      <c r="H65" s="6">
        <v>428586</v>
      </c>
      <c r="I65" s="6">
        <v>440996</v>
      </c>
      <c r="N65" s="23"/>
      <c r="O65" s="23"/>
      <c r="P65" s="23"/>
      <c r="Q65" s="23"/>
      <c r="S65" s="24"/>
      <c r="T65" s="25"/>
      <c r="U65" s="24"/>
      <c r="V65" s="23"/>
      <c r="W65" s="25"/>
      <c r="X65" s="24"/>
      <c r="Y65" s="69"/>
      <c r="Z65" s="23"/>
      <c r="AA65" s="23"/>
      <c r="AB65" s="24"/>
      <c r="AC65" s="23"/>
      <c r="AD65" s="22"/>
    </row>
    <row r="66" spans="1:30" x14ac:dyDescent="0.25">
      <c r="A66" s="6" t="s">
        <v>186</v>
      </c>
      <c r="E66" s="6">
        <v>316105</v>
      </c>
      <c r="F66" s="6">
        <v>496803</v>
      </c>
      <c r="G66" s="6">
        <v>899425</v>
      </c>
      <c r="H66" s="6">
        <v>428777</v>
      </c>
      <c r="I66" s="6">
        <v>441186</v>
      </c>
      <c r="N66" s="23"/>
      <c r="O66" s="23"/>
      <c r="P66" s="23"/>
      <c r="Q66" s="23"/>
      <c r="S66" s="24"/>
      <c r="T66" s="25"/>
      <c r="U66" s="24"/>
      <c r="V66" s="23"/>
      <c r="W66" s="25"/>
      <c r="X66" s="24"/>
      <c r="Y66" s="69"/>
      <c r="Z66" s="23"/>
      <c r="AA66" s="23"/>
      <c r="AB66" s="24"/>
      <c r="AC66" s="23"/>
      <c r="AD66" s="22"/>
    </row>
    <row r="67" spans="1:30" x14ac:dyDescent="0.25">
      <c r="D67" s="6" t="s">
        <v>111</v>
      </c>
      <c r="E67" s="6">
        <f>+E66-E65</f>
        <v>190</v>
      </c>
      <c r="F67" s="6">
        <f>+F66-F65</f>
        <v>189</v>
      </c>
      <c r="G67" s="6">
        <f>+G66-G65</f>
        <v>190</v>
      </c>
      <c r="H67" s="6">
        <f>+H66-H65</f>
        <v>191</v>
      </c>
      <c r="I67" s="6">
        <f>+I66-I65</f>
        <v>190</v>
      </c>
      <c r="J67" s="6">
        <f>SUM(E67:I67)</f>
        <v>950</v>
      </c>
      <c r="N67" s="23"/>
      <c r="O67" s="23"/>
      <c r="P67" s="23"/>
      <c r="Q67" s="23"/>
      <c r="S67" s="24"/>
      <c r="T67" s="25"/>
      <c r="U67" s="24"/>
      <c r="V67" s="23"/>
      <c r="W67" s="25"/>
      <c r="X67" s="24"/>
      <c r="Y67" s="69"/>
      <c r="Z67" s="23"/>
      <c r="AA67" s="23"/>
      <c r="AB67" s="24"/>
      <c r="AC67" s="23"/>
      <c r="AD67" s="22"/>
    </row>
    <row r="68" spans="1:30" x14ac:dyDescent="0.25">
      <c r="D68" s="6" t="s">
        <v>112</v>
      </c>
      <c r="J68" s="6">
        <v>8894</v>
      </c>
      <c r="L68" s="6" t="s">
        <v>251</v>
      </c>
      <c r="N68" s="23">
        <v>0.28999999999999998</v>
      </c>
      <c r="O68" s="23">
        <v>83</v>
      </c>
      <c r="P68" s="23">
        <v>3.9E-2</v>
      </c>
      <c r="Q68" s="23">
        <v>5.61</v>
      </c>
      <c r="S68" s="24">
        <f>+J67*100</f>
        <v>95000</v>
      </c>
      <c r="T68" s="25">
        <f>+O68*1.02843*S68/1000000</f>
        <v>8.10917055</v>
      </c>
      <c r="U68" s="135">
        <f>+T68/J69</f>
        <v>9.5974465932089047E-3</v>
      </c>
      <c r="V68" s="23" t="s">
        <v>113</v>
      </c>
      <c r="W68" s="25" t="s">
        <v>113</v>
      </c>
      <c r="X68" s="126">
        <f>(+N68)*(2*0.95*10000)/J68</f>
        <v>0.6195187767033955</v>
      </c>
      <c r="Y68" s="127">
        <v>0.49</v>
      </c>
      <c r="Z68" s="23">
        <f>+J67*100</f>
        <v>95000</v>
      </c>
      <c r="AA68" s="23">
        <f>+P68*Z68/1000000</f>
        <v>3.705E-3</v>
      </c>
      <c r="AB68" s="71">
        <f>+AA68/J69*1000000</f>
        <v>4.3849786372835622</v>
      </c>
      <c r="AC68" s="23" t="s">
        <v>113</v>
      </c>
      <c r="AD68" s="142">
        <v>1.61</v>
      </c>
    </row>
    <row r="69" spans="1:30" x14ac:dyDescent="0.25">
      <c r="D69" s="6" t="s">
        <v>114</v>
      </c>
      <c r="J69" s="6">
        <f>+(J67*100*J68)/1000000</f>
        <v>844.93</v>
      </c>
      <c r="N69" s="23"/>
      <c r="O69" s="23"/>
      <c r="P69" s="23"/>
      <c r="Q69" s="23"/>
      <c r="S69" s="24"/>
      <c r="T69" s="25"/>
      <c r="U69" s="24"/>
      <c r="V69" s="23"/>
      <c r="W69" s="25"/>
      <c r="X69" s="24"/>
      <c r="Y69" s="69"/>
      <c r="Z69" s="23"/>
      <c r="AA69" s="23"/>
      <c r="AB69" s="24"/>
      <c r="AC69" s="23"/>
      <c r="AD69" s="22"/>
    </row>
    <row r="70" spans="1:30" x14ac:dyDescent="0.25">
      <c r="D70" s="6" t="s">
        <v>115</v>
      </c>
      <c r="J70" s="6">
        <f>+(J67*100*J68)/1000000/23*60</f>
        <v>2204.1652173913044</v>
      </c>
      <c r="K70" s="41" t="s">
        <v>113</v>
      </c>
      <c r="N70" s="23"/>
      <c r="O70" s="23"/>
      <c r="P70" s="23"/>
      <c r="Q70" s="23"/>
      <c r="S70" s="24"/>
      <c r="T70" s="25"/>
      <c r="U70" s="24"/>
      <c r="V70" s="23"/>
      <c r="W70" s="25"/>
      <c r="X70" s="24"/>
      <c r="Y70" s="69"/>
      <c r="Z70" s="23"/>
      <c r="AA70" s="23"/>
      <c r="AB70" s="24"/>
      <c r="AC70" s="23"/>
      <c r="AD70" s="22"/>
    </row>
    <row r="71" spans="1:30" x14ac:dyDescent="0.25">
      <c r="N71" s="23"/>
      <c r="O71" s="23"/>
      <c r="P71" s="23"/>
      <c r="Q71" s="23"/>
      <c r="S71" s="24"/>
      <c r="T71" s="25"/>
      <c r="U71" s="24"/>
      <c r="V71" s="23"/>
      <c r="W71" s="25"/>
      <c r="X71" s="70"/>
      <c r="Y71" s="69"/>
      <c r="Z71" s="23"/>
      <c r="AA71" s="23"/>
      <c r="AB71" s="24"/>
      <c r="AC71" s="23"/>
      <c r="AD71" s="73"/>
    </row>
    <row r="72" spans="1:30" x14ac:dyDescent="0.25">
      <c r="A72" s="6" t="s">
        <v>189</v>
      </c>
      <c r="D72" s="6" t="s">
        <v>80</v>
      </c>
      <c r="N72" s="23"/>
      <c r="O72" s="23"/>
      <c r="P72" s="23"/>
      <c r="Q72" s="23"/>
      <c r="S72" s="24"/>
      <c r="T72" s="25"/>
      <c r="U72" s="24"/>
      <c r="V72" s="23"/>
      <c r="W72" s="25"/>
      <c r="X72" s="24"/>
      <c r="Y72" s="69"/>
      <c r="Z72" s="23"/>
      <c r="AA72" s="23"/>
      <c r="AB72" s="24"/>
      <c r="AC72" s="23"/>
      <c r="AD72" s="22"/>
    </row>
    <row r="73" spans="1:30" x14ac:dyDescent="0.25">
      <c r="A73" s="41">
        <v>1554</v>
      </c>
      <c r="B73" s="41">
        <v>1730</v>
      </c>
      <c r="D73" s="6" t="s">
        <v>123</v>
      </c>
      <c r="E73" s="6">
        <v>316105</v>
      </c>
      <c r="F73" s="6">
        <v>496803</v>
      </c>
      <c r="G73" s="6">
        <v>899425</v>
      </c>
      <c r="H73" s="6">
        <v>428777</v>
      </c>
      <c r="I73" s="6">
        <v>441186</v>
      </c>
      <c r="N73" s="23"/>
      <c r="O73" s="23"/>
      <c r="P73" s="23"/>
      <c r="Q73" s="23"/>
      <c r="S73" s="24"/>
      <c r="T73" s="25"/>
      <c r="U73" s="24"/>
      <c r="V73" s="23"/>
      <c r="W73" s="25"/>
      <c r="X73" s="24"/>
      <c r="Y73" s="69"/>
      <c r="Z73" s="23"/>
      <c r="AA73" s="23"/>
      <c r="AB73" s="24"/>
      <c r="AC73" s="23"/>
      <c r="AD73" s="22"/>
    </row>
    <row r="74" spans="1:30" x14ac:dyDescent="0.25">
      <c r="A74" s="6" t="s">
        <v>190</v>
      </c>
      <c r="E74" s="6">
        <v>316829</v>
      </c>
      <c r="F74" s="6">
        <v>497523</v>
      </c>
      <c r="G74" s="6">
        <v>900144</v>
      </c>
      <c r="H74" s="6">
        <v>429495</v>
      </c>
      <c r="I74" s="6">
        <v>441902</v>
      </c>
      <c r="N74" s="23"/>
      <c r="O74" s="23"/>
      <c r="P74" s="23"/>
      <c r="Q74" s="23"/>
      <c r="S74" s="24"/>
      <c r="T74" s="25"/>
      <c r="U74" s="24"/>
      <c r="V74" s="23"/>
      <c r="W74" s="25"/>
      <c r="X74" s="24"/>
      <c r="Y74" s="69"/>
      <c r="Z74" s="23"/>
      <c r="AA74" s="23"/>
      <c r="AB74" s="24"/>
      <c r="AC74" s="23"/>
      <c r="AD74" s="22"/>
    </row>
    <row r="75" spans="1:30" x14ac:dyDescent="0.25">
      <c r="D75" s="6" t="s">
        <v>111</v>
      </c>
      <c r="E75" s="6">
        <f>+E74-E73</f>
        <v>724</v>
      </c>
      <c r="F75" s="6">
        <f>+F74-F73</f>
        <v>720</v>
      </c>
      <c r="G75" s="6">
        <f>+G74-G73</f>
        <v>719</v>
      </c>
      <c r="H75" s="6">
        <f>+H74-H73</f>
        <v>718</v>
      </c>
      <c r="I75" s="6">
        <f>+I74-I73</f>
        <v>716</v>
      </c>
      <c r="J75" s="6">
        <f>SUM(E75:I75)</f>
        <v>3597</v>
      </c>
      <c r="N75" s="23"/>
      <c r="O75" s="23"/>
      <c r="P75" s="23"/>
      <c r="Q75" s="23"/>
      <c r="S75" s="24"/>
      <c r="T75" s="25"/>
      <c r="U75" s="24"/>
      <c r="V75" s="23"/>
      <c r="W75" s="25"/>
      <c r="X75" s="24"/>
      <c r="Y75" s="69"/>
      <c r="Z75" s="23"/>
      <c r="AA75" s="23"/>
      <c r="AB75" s="24"/>
      <c r="AC75" s="23"/>
      <c r="AD75" s="22"/>
    </row>
    <row r="76" spans="1:30" x14ac:dyDescent="0.25">
      <c r="D76" s="6" t="s">
        <v>112</v>
      </c>
      <c r="J76" s="6">
        <v>8894</v>
      </c>
      <c r="L76" s="6" t="s">
        <v>251</v>
      </c>
      <c r="N76" s="23">
        <v>0.28999999999999998</v>
      </c>
      <c r="O76" s="23">
        <v>83</v>
      </c>
      <c r="P76" s="23">
        <v>3.9E-2</v>
      </c>
      <c r="Q76" s="23">
        <v>5.61</v>
      </c>
      <c r="S76" s="24">
        <f>+J75*100</f>
        <v>359700</v>
      </c>
      <c r="T76" s="25">
        <f>+O76*1.02843*S76/1000000</f>
        <v>30.703880493</v>
      </c>
      <c r="U76" s="135">
        <f>+T76/J77</f>
        <v>9.5974465932089047E-3</v>
      </c>
      <c r="V76" s="23" t="s">
        <v>113</v>
      </c>
      <c r="W76" s="25" t="s">
        <v>113</v>
      </c>
      <c r="X76" s="126">
        <f>(+N76)*(2*0.95*10000)/J76</f>
        <v>0.6195187767033955</v>
      </c>
      <c r="Y76" s="127">
        <v>0.49</v>
      </c>
      <c r="Z76" s="23">
        <f>+J75*100</f>
        <v>359700</v>
      </c>
      <c r="AA76" s="23">
        <f>+P76*Z76/1000000</f>
        <v>1.4028299999999999E-2</v>
      </c>
      <c r="AB76" s="71">
        <f>+AA76/J77*1000000</f>
        <v>4.3849786372835613</v>
      </c>
      <c r="AC76" s="23" t="s">
        <v>113</v>
      </c>
      <c r="AD76" s="138">
        <v>1.41</v>
      </c>
    </row>
    <row r="77" spans="1:30" x14ac:dyDescent="0.25">
      <c r="D77" s="6" t="s">
        <v>114</v>
      </c>
      <c r="J77" s="6">
        <f>+(J75*100*J76)/1000000</f>
        <v>3199.1718000000001</v>
      </c>
      <c r="N77" s="23"/>
      <c r="O77" s="23"/>
      <c r="P77" s="23"/>
      <c r="Q77" s="23"/>
      <c r="S77" s="24"/>
      <c r="T77" s="25"/>
      <c r="U77" s="24"/>
      <c r="V77" s="23"/>
      <c r="W77" s="25"/>
      <c r="X77" s="24"/>
      <c r="Y77" s="69"/>
      <c r="Z77" s="23"/>
      <c r="AA77" s="23"/>
      <c r="AB77" s="24"/>
      <c r="AC77" s="23"/>
      <c r="AD77" s="22"/>
    </row>
    <row r="78" spans="1:30" x14ac:dyDescent="0.25">
      <c r="D78" s="6" t="s">
        <v>115</v>
      </c>
      <c r="J78" s="6">
        <f>+(J75*100*J76)/1000000/96*60</f>
        <v>1999.4823749999998</v>
      </c>
      <c r="K78" s="41" t="s">
        <v>113</v>
      </c>
      <c r="N78" s="23"/>
      <c r="O78" s="23"/>
      <c r="P78" s="23"/>
      <c r="Q78" s="23"/>
      <c r="S78" s="24"/>
      <c r="T78" s="25"/>
      <c r="U78" s="24"/>
      <c r="V78" s="23"/>
      <c r="W78" s="25"/>
      <c r="X78" s="24"/>
      <c r="Y78" s="69"/>
      <c r="Z78" s="23"/>
      <c r="AA78" s="23"/>
      <c r="AB78" s="24"/>
      <c r="AC78" s="23"/>
      <c r="AD78" s="22"/>
    </row>
    <row r="79" spans="1:30" x14ac:dyDescent="0.25">
      <c r="N79" s="23"/>
      <c r="O79" s="23"/>
      <c r="P79" s="23"/>
      <c r="Q79" s="23"/>
      <c r="S79" s="24"/>
      <c r="T79" s="25"/>
      <c r="U79" s="24"/>
      <c r="V79" s="23"/>
      <c r="W79" s="25"/>
      <c r="X79" s="70"/>
      <c r="Y79" s="69"/>
      <c r="Z79" s="23"/>
      <c r="AA79" s="23"/>
      <c r="AB79" s="24"/>
      <c r="AC79" s="23"/>
      <c r="AD79" s="73"/>
    </row>
    <row r="80" spans="1:30" ht="21" x14ac:dyDescent="0.35">
      <c r="A80" s="15" t="s">
        <v>305</v>
      </c>
      <c r="N80" s="23"/>
      <c r="O80" s="23"/>
      <c r="P80" s="23"/>
      <c r="Q80" s="23"/>
      <c r="S80" s="24"/>
      <c r="T80" s="25"/>
      <c r="U80" s="24"/>
      <c r="V80" s="23"/>
      <c r="W80" s="25"/>
      <c r="X80" s="70"/>
      <c r="Y80" s="69"/>
      <c r="Z80" s="23"/>
      <c r="AA80" s="23"/>
      <c r="AB80" s="24"/>
      <c r="AC80" s="23"/>
      <c r="AD80" s="73"/>
    </row>
    <row r="81" spans="1:30" x14ac:dyDescent="0.25">
      <c r="A81" s="6" t="s">
        <v>117</v>
      </c>
      <c r="D81" s="6" t="s">
        <v>80</v>
      </c>
      <c r="N81" s="23"/>
      <c r="O81" s="23"/>
      <c r="P81" s="23"/>
      <c r="Q81" s="23"/>
      <c r="S81" s="24"/>
      <c r="T81" s="25"/>
      <c r="U81" s="24"/>
      <c r="V81" s="23"/>
      <c r="W81" s="25"/>
      <c r="X81" s="24"/>
      <c r="Y81" s="69"/>
      <c r="Z81" s="23"/>
      <c r="AA81" s="23"/>
      <c r="AB81" s="24"/>
      <c r="AC81" s="23"/>
      <c r="AD81" s="22"/>
    </row>
    <row r="82" spans="1:30" x14ac:dyDescent="0.25">
      <c r="A82" s="41">
        <v>1015</v>
      </c>
      <c r="B82" s="41">
        <v>1118</v>
      </c>
      <c r="D82" s="6" t="s">
        <v>191</v>
      </c>
      <c r="E82" s="6">
        <v>319542</v>
      </c>
      <c r="F82" s="6">
        <v>511427</v>
      </c>
      <c r="G82" s="6">
        <v>918037</v>
      </c>
      <c r="H82" s="6">
        <v>449496</v>
      </c>
      <c r="I82" s="6">
        <v>461871</v>
      </c>
      <c r="N82" s="23"/>
      <c r="O82" s="23"/>
      <c r="P82" s="23"/>
      <c r="Q82" s="23"/>
      <c r="S82" s="24"/>
      <c r="T82" s="25"/>
      <c r="U82" s="24"/>
      <c r="V82" s="23"/>
      <c r="W82" s="25"/>
      <c r="X82" s="24"/>
      <c r="Y82" s="69"/>
      <c r="Z82" s="23"/>
      <c r="AA82" s="23"/>
      <c r="AB82" s="24"/>
      <c r="AC82" s="23"/>
      <c r="AD82" s="22"/>
    </row>
    <row r="83" spans="1:30" x14ac:dyDescent="0.25">
      <c r="A83" s="6" t="s">
        <v>190</v>
      </c>
      <c r="E83" s="6">
        <v>320035</v>
      </c>
      <c r="F83" s="6">
        <v>511906</v>
      </c>
      <c r="G83" s="6">
        <v>918515</v>
      </c>
      <c r="H83" s="6">
        <v>449977</v>
      </c>
      <c r="I83" s="6">
        <v>462350</v>
      </c>
      <c r="N83" s="23"/>
      <c r="O83" s="23"/>
      <c r="P83" s="23"/>
      <c r="Q83" s="23"/>
      <c r="S83" s="24"/>
      <c r="T83" s="25"/>
      <c r="U83" s="24"/>
      <c r="V83" s="23"/>
      <c r="W83" s="25"/>
      <c r="X83" s="24"/>
      <c r="Y83" s="69"/>
      <c r="Z83" s="23"/>
      <c r="AA83" s="23"/>
      <c r="AB83" s="24"/>
      <c r="AC83" s="23"/>
      <c r="AD83" s="22"/>
    </row>
    <row r="84" spans="1:30" x14ac:dyDescent="0.25">
      <c r="D84" s="6" t="s">
        <v>111</v>
      </c>
      <c r="E84" s="6">
        <f>+E83-E82</f>
        <v>493</v>
      </c>
      <c r="F84" s="6">
        <f>+F83-F82</f>
        <v>479</v>
      </c>
      <c r="G84" s="6">
        <f>+G83-G82</f>
        <v>478</v>
      </c>
      <c r="H84" s="6">
        <f>+H83-H82</f>
        <v>481</v>
      </c>
      <c r="I84" s="6">
        <f>+I83-I82</f>
        <v>479</v>
      </c>
      <c r="J84" s="6">
        <f>SUM(E84:I84)</f>
        <v>2410</v>
      </c>
      <c r="N84" s="23"/>
      <c r="O84" s="23"/>
      <c r="P84" s="23"/>
      <c r="Q84" s="23"/>
      <c r="S84" s="24"/>
      <c r="T84" s="25"/>
      <c r="U84" s="24"/>
      <c r="V84" s="23"/>
      <c r="W84" s="25"/>
      <c r="X84" s="24"/>
      <c r="Y84" s="69"/>
      <c r="Z84" s="23"/>
      <c r="AA84" s="23"/>
      <c r="AB84" s="24"/>
      <c r="AC84" s="23"/>
      <c r="AD84" s="22"/>
    </row>
    <row r="85" spans="1:30" x14ac:dyDescent="0.25">
      <c r="D85" s="6" t="s">
        <v>112</v>
      </c>
      <c r="J85" s="6">
        <v>8933</v>
      </c>
      <c r="L85" s="6" t="s">
        <v>252</v>
      </c>
      <c r="N85" s="23">
        <v>0.28999999999999998</v>
      </c>
      <c r="O85" s="23">
        <v>20</v>
      </c>
      <c r="P85" s="23">
        <v>6.4000000000000001E-2</v>
      </c>
      <c r="Q85" s="23">
        <v>5.16</v>
      </c>
      <c r="S85" s="24">
        <f>+J84*100</f>
        <v>241000</v>
      </c>
      <c r="T85" s="25">
        <f>+O85*1.02843*S85/1000000</f>
        <v>4.9570325999999998</v>
      </c>
      <c r="U85" s="135">
        <f>+T85/J86</f>
        <v>2.3025411395947606E-3</v>
      </c>
      <c r="V85" s="23" t="s">
        <v>113</v>
      </c>
      <c r="W85" s="25" t="s">
        <v>113</v>
      </c>
      <c r="X85" s="126">
        <f>(+N85)*(2*0.95*10000)/J85</f>
        <v>0.61681406022612784</v>
      </c>
      <c r="Y85" s="127">
        <v>0.56000000000000005</v>
      </c>
      <c r="Z85" s="23">
        <f>+J84*100</f>
        <v>241000</v>
      </c>
      <c r="AA85" s="23">
        <f>+P85*Z85/1000000</f>
        <v>1.5424E-2</v>
      </c>
      <c r="AB85" s="71">
        <f>+AA85/J86*1000000</f>
        <v>7.164446434568454</v>
      </c>
      <c r="AC85" s="139">
        <v>1.91</v>
      </c>
      <c r="AD85" s="138">
        <v>1.35</v>
      </c>
    </row>
    <row r="86" spans="1:30" x14ac:dyDescent="0.25">
      <c r="D86" s="6" t="s">
        <v>114</v>
      </c>
      <c r="J86" s="6">
        <f>+(J84*100*J85)/1000000</f>
        <v>2152.8530000000001</v>
      </c>
      <c r="N86" s="23"/>
      <c r="O86" s="23"/>
      <c r="P86" s="23"/>
      <c r="Q86" s="23"/>
      <c r="S86" s="24"/>
      <c r="T86" s="25"/>
      <c r="U86" s="24"/>
      <c r="V86" s="23"/>
      <c r="W86" s="25"/>
      <c r="X86" s="24"/>
      <c r="Y86" s="69"/>
      <c r="Z86" s="23"/>
      <c r="AA86" s="23"/>
      <c r="AB86" s="24"/>
      <c r="AC86" s="23"/>
      <c r="AD86" s="22"/>
    </row>
    <row r="87" spans="1:30" x14ac:dyDescent="0.25">
      <c r="D87" s="6" t="s">
        <v>115</v>
      </c>
      <c r="J87" s="6">
        <f>+(J84*100*J85)/1000000/63*60</f>
        <v>2050.3361904761905</v>
      </c>
      <c r="K87" s="41">
        <v>1892</v>
      </c>
      <c r="N87" s="23"/>
      <c r="O87" s="23"/>
      <c r="P87" s="23"/>
      <c r="Q87" s="23"/>
      <c r="S87" s="24"/>
      <c r="T87" s="25"/>
      <c r="U87" s="24"/>
      <c r="V87" s="23"/>
      <c r="W87" s="25"/>
      <c r="X87" s="24"/>
      <c r="Y87" s="69"/>
      <c r="Z87" s="23"/>
      <c r="AA87" s="23"/>
      <c r="AB87" s="24"/>
      <c r="AC87" s="23"/>
      <c r="AD87" s="22"/>
    </row>
    <row r="88" spans="1:30" x14ac:dyDescent="0.25">
      <c r="N88" s="23"/>
      <c r="O88" s="23"/>
      <c r="P88" s="23"/>
      <c r="Q88" s="23"/>
      <c r="S88" s="24"/>
      <c r="T88" s="25"/>
      <c r="U88" s="24"/>
      <c r="V88" s="23"/>
      <c r="W88" s="25"/>
      <c r="X88" s="70"/>
      <c r="Y88" s="69"/>
      <c r="Z88" s="23"/>
      <c r="AA88" s="23"/>
      <c r="AB88" s="24"/>
      <c r="AC88" s="23"/>
      <c r="AD88" s="73"/>
    </row>
    <row r="89" spans="1:30" x14ac:dyDescent="0.25">
      <c r="A89" s="6" t="s">
        <v>118</v>
      </c>
      <c r="D89" s="6" t="s">
        <v>80</v>
      </c>
      <c r="N89" s="23"/>
      <c r="O89" s="23"/>
      <c r="P89" s="23"/>
      <c r="Q89" s="23"/>
      <c r="S89" s="24"/>
      <c r="T89" s="25"/>
      <c r="U89" s="24"/>
      <c r="V89" s="23"/>
      <c r="W89" s="25"/>
      <c r="X89" s="24"/>
      <c r="Y89" s="69"/>
      <c r="Z89" s="23"/>
      <c r="AA89" s="23"/>
      <c r="AB89" s="24"/>
      <c r="AC89" s="23"/>
      <c r="AD89" s="22"/>
    </row>
    <row r="90" spans="1:30" x14ac:dyDescent="0.25">
      <c r="A90" s="41">
        <v>1640</v>
      </c>
      <c r="B90" s="41">
        <v>1750</v>
      </c>
      <c r="D90" s="6" t="s">
        <v>191</v>
      </c>
      <c r="E90" s="6">
        <v>322145</v>
      </c>
      <c r="F90" s="6">
        <v>514230</v>
      </c>
      <c r="G90" s="6">
        <v>920833</v>
      </c>
      <c r="H90" s="6">
        <v>452312</v>
      </c>
      <c r="I90" s="6">
        <v>464677</v>
      </c>
      <c r="N90" s="23"/>
      <c r="O90" s="23"/>
      <c r="P90" s="23"/>
      <c r="Q90" s="23"/>
      <c r="S90" s="24"/>
      <c r="T90" s="25"/>
      <c r="U90" s="24"/>
      <c r="V90" s="23"/>
      <c r="W90" s="25"/>
      <c r="X90" s="24"/>
      <c r="Y90" s="69"/>
      <c r="Z90" s="23"/>
      <c r="AA90" s="23"/>
      <c r="AB90" s="24"/>
      <c r="AC90" s="23"/>
      <c r="AD90" s="22"/>
    </row>
    <row r="91" spans="1:30" x14ac:dyDescent="0.25">
      <c r="A91" s="6" t="s">
        <v>190</v>
      </c>
      <c r="E91" s="6">
        <v>322700</v>
      </c>
      <c r="F91" s="6">
        <v>514750</v>
      </c>
      <c r="G91" s="6">
        <v>921351</v>
      </c>
      <c r="H91" s="6">
        <v>452833</v>
      </c>
      <c r="I91" s="6">
        <v>465196</v>
      </c>
      <c r="N91" s="23"/>
      <c r="O91" s="23"/>
      <c r="P91" s="23"/>
      <c r="Q91" s="23"/>
      <c r="S91" s="24"/>
      <c r="T91" s="25"/>
      <c r="U91" s="24"/>
      <c r="V91" s="23"/>
      <c r="W91" s="25"/>
      <c r="X91" s="24"/>
      <c r="Y91" s="69"/>
      <c r="Z91" s="23"/>
      <c r="AA91" s="23"/>
      <c r="AB91" s="24"/>
      <c r="AC91" s="23"/>
      <c r="AD91" s="22"/>
    </row>
    <row r="92" spans="1:30" x14ac:dyDescent="0.25">
      <c r="D92" s="6" t="s">
        <v>111</v>
      </c>
      <c r="E92" s="6">
        <f>+E91-E90</f>
        <v>555</v>
      </c>
      <c r="F92" s="6">
        <f>+F91-F90</f>
        <v>520</v>
      </c>
      <c r="G92" s="6">
        <f>+G91-G90</f>
        <v>518</v>
      </c>
      <c r="H92" s="6">
        <f>+H91-H90</f>
        <v>521</v>
      </c>
      <c r="I92" s="6">
        <f>+I91-I90</f>
        <v>519</v>
      </c>
      <c r="J92" s="6">
        <f>SUM(E92:I92)</f>
        <v>2633</v>
      </c>
      <c r="N92" s="23"/>
      <c r="O92" s="23"/>
      <c r="P92" s="23"/>
      <c r="Q92" s="23"/>
      <c r="S92" s="24"/>
      <c r="T92" s="25"/>
      <c r="U92" s="24"/>
      <c r="V92" s="23"/>
      <c r="W92" s="25"/>
      <c r="X92" s="24"/>
      <c r="Y92" s="69"/>
      <c r="Z92" s="23"/>
      <c r="AA92" s="23"/>
      <c r="AB92" s="24"/>
      <c r="AC92" s="23"/>
      <c r="AD92" s="22"/>
    </row>
    <row r="93" spans="1:30" x14ac:dyDescent="0.25">
      <c r="D93" s="6" t="s">
        <v>112</v>
      </c>
      <c r="J93" s="6">
        <v>8933</v>
      </c>
      <c r="L93" s="6" t="s">
        <v>252</v>
      </c>
      <c r="N93" s="23">
        <v>0.28999999999999998</v>
      </c>
      <c r="O93" s="23">
        <v>20</v>
      </c>
      <c r="P93" s="23">
        <v>6.4000000000000001E-2</v>
      </c>
      <c r="Q93" s="23">
        <v>5.16</v>
      </c>
      <c r="S93" s="24">
        <f>+J92*100</f>
        <v>263300</v>
      </c>
      <c r="T93" s="25">
        <f>+O93*1.02843*S93/1000000</f>
        <v>5.4157123799999995</v>
      </c>
      <c r="U93" s="135">
        <f>+T93/J94</f>
        <v>2.3025411395947606E-3</v>
      </c>
      <c r="V93" s="23" t="s">
        <v>113</v>
      </c>
      <c r="W93" s="25" t="s">
        <v>113</v>
      </c>
      <c r="X93" s="126">
        <f>(+N93)*(2*0.95*10000)/J93</f>
        <v>0.61681406022612784</v>
      </c>
      <c r="Y93" s="127">
        <v>0.51</v>
      </c>
      <c r="Z93" s="23">
        <f>+J92*100</f>
        <v>263300</v>
      </c>
      <c r="AA93" s="23">
        <f>+P93*Z93/1000000</f>
        <v>1.68512E-2</v>
      </c>
      <c r="AB93" s="71">
        <f>+AA93/J94*1000000</f>
        <v>7.164446434568454</v>
      </c>
      <c r="AC93" s="139">
        <v>2.42</v>
      </c>
      <c r="AD93" s="142">
        <v>1.9</v>
      </c>
    </row>
    <row r="94" spans="1:30" x14ac:dyDescent="0.25">
      <c r="D94" s="6" t="s">
        <v>114</v>
      </c>
      <c r="J94" s="6">
        <f>+(J92*100*J93)/1000000</f>
        <v>2352.0589</v>
      </c>
      <c r="N94" s="23"/>
      <c r="O94" s="23"/>
      <c r="P94" s="23"/>
      <c r="Q94" s="23"/>
      <c r="S94" s="24"/>
      <c r="T94" s="25"/>
      <c r="U94" s="24"/>
      <c r="V94" s="23"/>
      <c r="W94" s="25"/>
      <c r="X94" s="24"/>
      <c r="Y94" s="69"/>
      <c r="Z94" s="23"/>
      <c r="AA94" s="23"/>
      <c r="AB94" s="24"/>
      <c r="AC94" s="23"/>
      <c r="AD94" s="22"/>
    </row>
    <row r="95" spans="1:30" x14ac:dyDescent="0.25">
      <c r="D95" s="6" t="s">
        <v>115</v>
      </c>
      <c r="J95" s="6">
        <f>+(J92*100*J93)/1000000/70*60</f>
        <v>2016.0504857142857</v>
      </c>
      <c r="K95" s="41">
        <v>1851</v>
      </c>
      <c r="N95" s="23"/>
      <c r="O95" s="23"/>
      <c r="P95" s="23"/>
      <c r="Q95" s="23"/>
      <c r="S95" s="24"/>
      <c r="T95" s="25"/>
      <c r="U95" s="24"/>
      <c r="V95" s="23"/>
      <c r="W95" s="25"/>
      <c r="X95" s="24"/>
      <c r="Y95" s="69"/>
      <c r="Z95" s="23"/>
      <c r="AA95" s="23"/>
      <c r="AB95" s="24"/>
      <c r="AC95" s="23"/>
      <c r="AD95" s="22"/>
    </row>
    <row r="96" spans="1:30" x14ac:dyDescent="0.25">
      <c r="K96" s="41"/>
      <c r="N96" s="23"/>
      <c r="O96" s="23"/>
      <c r="P96" s="23"/>
      <c r="Q96" s="23"/>
      <c r="S96" s="24"/>
      <c r="T96" s="25"/>
      <c r="U96" s="24"/>
      <c r="V96" s="23"/>
      <c r="W96" s="25"/>
      <c r="X96" s="24"/>
      <c r="Y96" s="69"/>
      <c r="Z96" s="23"/>
      <c r="AA96" s="23"/>
      <c r="AB96" s="24"/>
      <c r="AC96" s="23"/>
      <c r="AD96" s="22"/>
    </row>
    <row r="97" spans="1:30" ht="21" x14ac:dyDescent="0.35">
      <c r="A97" s="15" t="s">
        <v>306</v>
      </c>
      <c r="N97" s="23"/>
      <c r="O97" s="23"/>
      <c r="P97" s="23"/>
      <c r="Q97" s="23"/>
      <c r="S97" s="24"/>
      <c r="T97" s="25"/>
      <c r="U97" s="24"/>
      <c r="V97" s="23"/>
      <c r="W97" s="25"/>
      <c r="X97" s="70"/>
      <c r="Y97" s="69"/>
      <c r="Z97" s="23"/>
      <c r="AA97" s="23"/>
      <c r="AB97" s="24"/>
      <c r="AC97" s="23"/>
      <c r="AD97" s="73"/>
    </row>
    <row r="98" spans="1:30" x14ac:dyDescent="0.25">
      <c r="A98" s="6" t="s">
        <v>119</v>
      </c>
      <c r="D98" s="6" t="s">
        <v>80</v>
      </c>
      <c r="N98" s="23"/>
      <c r="O98" s="23"/>
      <c r="P98" s="23"/>
      <c r="Q98" s="23"/>
      <c r="S98" s="24"/>
      <c r="T98" s="25"/>
      <c r="U98" s="24"/>
      <c r="V98" s="23"/>
      <c r="W98" s="25"/>
      <c r="X98" s="24"/>
      <c r="Y98" s="69"/>
      <c r="Z98" s="23"/>
      <c r="AA98" s="23"/>
      <c r="AB98" s="24"/>
      <c r="AC98" s="23"/>
      <c r="AD98" s="22"/>
    </row>
    <row r="99" spans="1:30" x14ac:dyDescent="0.25">
      <c r="A99" s="41">
        <v>725</v>
      </c>
      <c r="B99" s="41">
        <v>836</v>
      </c>
      <c r="D99" s="6" t="s">
        <v>123</v>
      </c>
      <c r="E99" s="6">
        <v>323807</v>
      </c>
      <c r="F99" s="6">
        <v>516980</v>
      </c>
      <c r="G99" s="6">
        <v>925362</v>
      </c>
      <c r="H99" s="6">
        <v>457119</v>
      </c>
      <c r="I99" s="6">
        <v>469469</v>
      </c>
      <c r="N99" s="23"/>
      <c r="O99" s="23"/>
      <c r="P99" s="23"/>
      <c r="Q99" s="23"/>
      <c r="S99" s="24"/>
      <c r="T99" s="25"/>
      <c r="U99" s="24"/>
      <c r="V99" s="23"/>
      <c r="W99" s="25"/>
      <c r="X99" s="24"/>
      <c r="Y99" s="69"/>
      <c r="Z99" s="23"/>
      <c r="AA99" s="23"/>
      <c r="AB99" s="24"/>
      <c r="AC99" s="23"/>
      <c r="AD99" s="22"/>
    </row>
    <row r="100" spans="1:30" x14ac:dyDescent="0.25">
      <c r="A100" s="6" t="s">
        <v>192</v>
      </c>
      <c r="E100" s="6">
        <v>324365</v>
      </c>
      <c r="F100" s="6">
        <v>517535</v>
      </c>
      <c r="G100" s="6">
        <v>925918</v>
      </c>
      <c r="H100" s="6">
        <v>457674</v>
      </c>
      <c r="I100" s="6">
        <v>470024</v>
      </c>
      <c r="N100" s="23"/>
      <c r="O100" s="23"/>
      <c r="P100" s="23"/>
      <c r="Q100" s="23"/>
      <c r="S100" s="24"/>
      <c r="T100" s="25"/>
      <c r="U100" s="24"/>
      <c r="V100" s="23"/>
      <c r="W100" s="25"/>
      <c r="X100" s="24"/>
      <c r="Y100" s="69"/>
      <c r="Z100" s="23"/>
      <c r="AA100" s="23"/>
      <c r="AB100" s="24"/>
      <c r="AC100" s="23"/>
      <c r="AD100" s="22"/>
    </row>
    <row r="101" spans="1:30" x14ac:dyDescent="0.25">
      <c r="D101" s="6" t="s">
        <v>111</v>
      </c>
      <c r="E101" s="6">
        <f>+E100-E99</f>
        <v>558</v>
      </c>
      <c r="F101" s="6">
        <f>+F100-F99</f>
        <v>555</v>
      </c>
      <c r="G101" s="6">
        <f>+G100-G99</f>
        <v>556</v>
      </c>
      <c r="H101" s="6">
        <f>+H100-H99</f>
        <v>555</v>
      </c>
      <c r="I101" s="6">
        <f>+I100-I99</f>
        <v>555</v>
      </c>
      <c r="J101" s="6">
        <f>SUM(E101:I101)</f>
        <v>2779</v>
      </c>
      <c r="N101" s="23"/>
      <c r="O101" s="23"/>
      <c r="P101" s="23"/>
      <c r="Q101" s="23"/>
      <c r="S101" s="24"/>
      <c r="T101" s="25"/>
      <c r="U101" s="24"/>
      <c r="V101" s="23"/>
      <c r="W101" s="25"/>
      <c r="X101" s="24"/>
      <c r="Y101" s="69"/>
      <c r="Z101" s="23"/>
      <c r="AA101" s="23"/>
      <c r="AB101" s="24"/>
      <c r="AC101" s="23"/>
      <c r="AD101" s="22"/>
    </row>
    <row r="102" spans="1:30" x14ac:dyDescent="0.25">
      <c r="D102" s="6" t="s">
        <v>112</v>
      </c>
      <c r="J102" s="6">
        <v>8596</v>
      </c>
      <c r="L102" s="6" t="s">
        <v>248</v>
      </c>
      <c r="N102" s="23">
        <v>0.25</v>
      </c>
      <c r="O102" s="23">
        <v>32</v>
      </c>
      <c r="P102" s="23">
        <v>6.6000000000000003E-2</v>
      </c>
      <c r="Q102" s="23">
        <v>5</v>
      </c>
      <c r="S102" s="24">
        <f>+J101*100</f>
        <v>277900</v>
      </c>
      <c r="T102" s="25">
        <f>+O102*1.02843*S102/1000000</f>
        <v>9.1456223039999998</v>
      </c>
      <c r="U102" s="135">
        <f>+T102/J103</f>
        <v>3.8284969753373662E-3</v>
      </c>
      <c r="V102" s="23" t="s">
        <v>113</v>
      </c>
      <c r="W102" s="138">
        <v>7.7000000000000002E-3</v>
      </c>
      <c r="X102" s="126">
        <f>(+N102)*(2*0.95*10000)/J102</f>
        <v>0.55258259655653796</v>
      </c>
      <c r="Y102" s="127">
        <v>0.46</v>
      </c>
      <c r="Z102" s="23">
        <f>+J101*100</f>
        <v>277900</v>
      </c>
      <c r="AA102" s="23">
        <f>+P102*Z102/1000000</f>
        <v>1.8341400000000001E-2</v>
      </c>
      <c r="AB102" s="71">
        <f>+AA102/J103*1000000</f>
        <v>7.6779897626803173</v>
      </c>
      <c r="AC102" s="139">
        <v>5.59</v>
      </c>
      <c r="AD102" s="22" t="s">
        <v>113</v>
      </c>
    </row>
    <row r="103" spans="1:30" x14ac:dyDescent="0.25">
      <c r="D103" s="6" t="s">
        <v>114</v>
      </c>
      <c r="J103" s="6">
        <f>+(J101*100*J102)/1000000</f>
        <v>2388.8283999999999</v>
      </c>
      <c r="N103" s="23"/>
      <c r="O103" s="23"/>
      <c r="P103" s="23"/>
      <c r="Q103" s="23"/>
      <c r="S103" s="24"/>
      <c r="T103" s="25"/>
      <c r="U103" s="24"/>
      <c r="V103" s="23"/>
      <c r="W103" s="25"/>
      <c r="X103" s="24"/>
      <c r="Y103" s="69"/>
      <c r="Z103" s="23"/>
      <c r="AA103" s="23"/>
      <c r="AB103" s="24"/>
      <c r="AC103" s="23"/>
      <c r="AD103" s="22"/>
    </row>
    <row r="104" spans="1:30" x14ac:dyDescent="0.25">
      <c r="D104" s="6" t="s">
        <v>115</v>
      </c>
      <c r="J104" s="6">
        <f>+(J101*100*J102)/1000000/71*60</f>
        <v>2018.7282253521128</v>
      </c>
      <c r="K104" s="41">
        <v>1835</v>
      </c>
      <c r="N104" s="23"/>
      <c r="O104" s="23"/>
      <c r="P104" s="23"/>
      <c r="Q104" s="23"/>
      <c r="S104" s="24"/>
      <c r="T104" s="25"/>
      <c r="U104" s="24"/>
      <c r="V104" s="23"/>
      <c r="W104" s="25"/>
      <c r="X104" s="24"/>
      <c r="Y104" s="69"/>
      <c r="Z104" s="23"/>
      <c r="AA104" s="23"/>
      <c r="AB104" s="24"/>
      <c r="AC104" s="23"/>
      <c r="AD104" s="22"/>
    </row>
    <row r="105" spans="1:30" x14ac:dyDescent="0.25">
      <c r="S105" s="67"/>
      <c r="T105" s="22"/>
      <c r="U105" s="67"/>
      <c r="W105" s="22"/>
      <c r="X105" s="67"/>
      <c r="Y105" s="22"/>
      <c r="AB105" s="67"/>
      <c r="AD105" s="22"/>
    </row>
    <row r="106" spans="1:30" x14ac:dyDescent="0.25">
      <c r="A106" s="6" t="s">
        <v>120</v>
      </c>
      <c r="D106" s="6" t="s">
        <v>80</v>
      </c>
      <c r="N106" s="23"/>
      <c r="O106" s="23"/>
      <c r="P106" s="23"/>
      <c r="Q106" s="23"/>
      <c r="S106" s="24"/>
      <c r="T106" s="25"/>
      <c r="U106" s="24"/>
      <c r="V106" s="23"/>
      <c r="W106" s="25"/>
      <c r="X106" s="24"/>
      <c r="Y106" s="69"/>
      <c r="Z106" s="23"/>
      <c r="AA106" s="23"/>
      <c r="AB106" s="24"/>
      <c r="AC106" s="23"/>
      <c r="AD106" s="22"/>
    </row>
    <row r="107" spans="1:30" x14ac:dyDescent="0.25">
      <c r="A107" s="41">
        <v>910</v>
      </c>
      <c r="B107" s="41">
        <v>1010</v>
      </c>
      <c r="D107" s="6" t="s">
        <v>123</v>
      </c>
      <c r="E107" s="6">
        <v>324627</v>
      </c>
      <c r="F107" s="6">
        <v>517798</v>
      </c>
      <c r="G107" s="6">
        <v>926180</v>
      </c>
      <c r="H107" s="6">
        <v>457937</v>
      </c>
      <c r="I107" s="6">
        <v>470286</v>
      </c>
      <c r="N107" s="23"/>
      <c r="O107" s="23"/>
      <c r="P107" s="23"/>
      <c r="Q107" s="23"/>
      <c r="S107" s="24"/>
      <c r="T107" s="25"/>
      <c r="U107" s="24"/>
      <c r="V107" s="23"/>
      <c r="W107" s="25"/>
      <c r="X107" s="24"/>
      <c r="Y107" s="69"/>
      <c r="Z107" s="23"/>
      <c r="AA107" s="23"/>
      <c r="AB107" s="24"/>
      <c r="AC107" s="23"/>
      <c r="AD107" s="22"/>
    </row>
    <row r="108" spans="1:30" x14ac:dyDescent="0.25">
      <c r="A108" s="6" t="s">
        <v>192</v>
      </c>
      <c r="E108" s="6">
        <v>325121</v>
      </c>
      <c r="F108" s="6">
        <v>518292</v>
      </c>
      <c r="G108" s="6">
        <v>926675</v>
      </c>
      <c r="H108" s="6">
        <v>458431</v>
      </c>
      <c r="I108" s="6">
        <v>470780</v>
      </c>
      <c r="N108" s="23"/>
      <c r="O108" s="23"/>
      <c r="P108" s="23"/>
      <c r="Q108" s="23"/>
      <c r="S108" s="24"/>
      <c r="T108" s="25"/>
      <c r="U108" s="24"/>
      <c r="V108" s="23"/>
      <c r="W108" s="25"/>
      <c r="X108" s="24"/>
      <c r="Y108" s="69"/>
      <c r="Z108" s="23"/>
      <c r="AA108" s="23"/>
      <c r="AB108" s="24"/>
      <c r="AC108" s="23"/>
      <c r="AD108" s="22"/>
    </row>
    <row r="109" spans="1:30" x14ac:dyDescent="0.25">
      <c r="D109" s="6" t="s">
        <v>111</v>
      </c>
      <c r="E109" s="6">
        <f>+E108-E107</f>
        <v>494</v>
      </c>
      <c r="F109" s="6">
        <f>+F108-F107</f>
        <v>494</v>
      </c>
      <c r="G109" s="6">
        <f>+G108-G107</f>
        <v>495</v>
      </c>
      <c r="H109" s="6">
        <f>+H108-H107</f>
        <v>494</v>
      </c>
      <c r="I109" s="6">
        <f>+I108-I107</f>
        <v>494</v>
      </c>
      <c r="J109" s="6">
        <f>SUM(E109:I109)</f>
        <v>2471</v>
      </c>
      <c r="N109" s="23"/>
      <c r="O109" s="23"/>
      <c r="P109" s="23"/>
      <c r="Q109" s="23"/>
      <c r="S109" s="24"/>
      <c r="T109" s="25"/>
      <c r="U109" s="24"/>
      <c r="V109" s="23"/>
      <c r="W109" s="25"/>
      <c r="X109" s="24"/>
      <c r="Y109" s="69"/>
      <c r="Z109" s="23"/>
      <c r="AA109" s="23"/>
      <c r="AB109" s="24"/>
      <c r="AC109" s="23"/>
      <c r="AD109" s="22"/>
    </row>
    <row r="110" spans="1:30" x14ac:dyDescent="0.25">
      <c r="D110" s="6" t="s">
        <v>112</v>
      </c>
      <c r="J110" s="6">
        <v>8596</v>
      </c>
      <c r="L110" s="6" t="s">
        <v>248</v>
      </c>
      <c r="N110" s="23">
        <v>0.25</v>
      </c>
      <c r="O110" s="23">
        <v>32</v>
      </c>
      <c r="P110" s="23">
        <v>6.6000000000000003E-2</v>
      </c>
      <c r="Q110" s="23">
        <v>5</v>
      </c>
      <c r="S110" s="24">
        <f>+J109*100</f>
        <v>247100</v>
      </c>
      <c r="T110" s="25">
        <f>+O110*1.02843*S110/1000000</f>
        <v>8.1320016959999997</v>
      </c>
      <c r="U110" s="135">
        <f>+T110/J111</f>
        <v>3.8284969753373658E-3</v>
      </c>
      <c r="V110" s="23" t="s">
        <v>113</v>
      </c>
      <c r="W110" s="25" t="s">
        <v>113</v>
      </c>
      <c r="X110" s="150">
        <f>(+N110)*(2*0.95*10000)/J110</f>
        <v>0.55258259655653796</v>
      </c>
      <c r="Y110" s="151">
        <v>0.52</v>
      </c>
      <c r="Z110" s="23">
        <f>+J109*100</f>
        <v>247100</v>
      </c>
      <c r="AA110" s="23">
        <f>+P110*Z110/1000000</f>
        <v>1.6308599999999999E-2</v>
      </c>
      <c r="AB110" s="71">
        <f>+AA110/J111*1000000</f>
        <v>7.6779897626803155</v>
      </c>
      <c r="AC110" s="23" t="s">
        <v>113</v>
      </c>
      <c r="AD110" s="22" t="s">
        <v>113</v>
      </c>
    </row>
    <row r="111" spans="1:30" x14ac:dyDescent="0.25">
      <c r="D111" s="6" t="s">
        <v>114</v>
      </c>
      <c r="J111" s="6">
        <f>+(J109*100*J110)/1000000</f>
        <v>2124.0716000000002</v>
      </c>
      <c r="N111" s="23"/>
      <c r="O111" s="23"/>
      <c r="P111" s="23"/>
      <c r="Q111" s="23"/>
      <c r="S111" s="24"/>
      <c r="T111" s="25"/>
      <c r="U111" s="24"/>
      <c r="V111" s="23"/>
      <c r="W111" s="25"/>
      <c r="X111" s="24"/>
      <c r="Y111" s="69"/>
      <c r="Z111" s="23"/>
      <c r="AA111" s="23"/>
      <c r="AB111" s="24"/>
      <c r="AC111" s="23"/>
      <c r="AD111" s="22"/>
    </row>
    <row r="112" spans="1:30" x14ac:dyDescent="0.25">
      <c r="D112" s="6" t="s">
        <v>115</v>
      </c>
      <c r="J112" s="6">
        <f>+(J109*100*J110)/1000000/60*60</f>
        <v>2124.0716000000002</v>
      </c>
      <c r="K112" s="41" t="s">
        <v>113</v>
      </c>
      <c r="N112" s="23"/>
      <c r="O112" s="23"/>
      <c r="P112" s="23"/>
      <c r="Q112" s="23"/>
      <c r="S112" s="24"/>
      <c r="T112" s="25"/>
      <c r="U112" s="24"/>
      <c r="V112" s="23"/>
      <c r="W112" s="25"/>
      <c r="X112" s="24"/>
      <c r="Y112" s="69"/>
      <c r="Z112" s="23"/>
      <c r="AA112" s="23"/>
      <c r="AB112" s="24"/>
      <c r="AC112" s="23"/>
      <c r="AD112" s="22"/>
    </row>
    <row r="113" spans="1:30" x14ac:dyDescent="0.25">
      <c r="S113" s="67"/>
      <c r="T113" s="22"/>
      <c r="U113" s="67"/>
      <c r="W113" s="22"/>
      <c r="X113" s="67"/>
      <c r="Y113" s="22"/>
      <c r="AB113" s="67"/>
      <c r="AD113" s="22"/>
    </row>
    <row r="114" spans="1:30" x14ac:dyDescent="0.25">
      <c r="A114" s="6" t="s">
        <v>121</v>
      </c>
      <c r="D114" s="6" t="s">
        <v>80</v>
      </c>
      <c r="N114" s="23"/>
      <c r="O114" s="23"/>
      <c r="P114" s="23"/>
      <c r="Q114" s="23"/>
      <c r="S114" s="24"/>
      <c r="T114" s="25"/>
      <c r="U114" s="24"/>
      <c r="V114" s="23"/>
      <c r="W114" s="25"/>
      <c r="X114" s="24"/>
      <c r="Y114" s="69"/>
      <c r="Z114" s="23"/>
      <c r="AA114" s="23"/>
      <c r="AB114" s="24"/>
      <c r="AC114" s="23"/>
      <c r="AD114" s="22"/>
    </row>
    <row r="115" spans="1:30" x14ac:dyDescent="0.25">
      <c r="A115" s="41">
        <v>1403</v>
      </c>
      <c r="B115" s="41">
        <v>1510</v>
      </c>
      <c r="D115" s="6" t="s">
        <v>193</v>
      </c>
      <c r="E115" s="6">
        <v>325375</v>
      </c>
      <c r="F115" s="6">
        <v>519035</v>
      </c>
      <c r="G115" s="6">
        <v>927698</v>
      </c>
      <c r="H115" s="6">
        <v>459458</v>
      </c>
      <c r="I115" s="6">
        <v>471807</v>
      </c>
      <c r="N115" s="23"/>
      <c r="O115" s="23"/>
      <c r="P115" s="23"/>
      <c r="Q115" s="23"/>
      <c r="S115" s="24"/>
      <c r="T115" s="25"/>
      <c r="U115" s="24"/>
      <c r="V115" s="23"/>
      <c r="W115" s="25"/>
      <c r="X115" s="24"/>
      <c r="Y115" s="69"/>
      <c r="Z115" s="23"/>
      <c r="AA115" s="23"/>
      <c r="AB115" s="24"/>
      <c r="AC115" s="23"/>
      <c r="AD115" s="22"/>
    </row>
    <row r="116" spans="1:30" x14ac:dyDescent="0.25">
      <c r="A116" s="6" t="s">
        <v>194</v>
      </c>
      <c r="E116" s="6">
        <v>325375</v>
      </c>
      <c r="F116" s="6">
        <v>519272</v>
      </c>
      <c r="G116" s="6">
        <v>928022</v>
      </c>
      <c r="H116" s="6">
        <v>459834</v>
      </c>
      <c r="I116" s="6">
        <v>472182</v>
      </c>
      <c r="N116" s="23"/>
      <c r="O116" s="23"/>
      <c r="P116" s="23"/>
      <c r="Q116" s="23"/>
      <c r="S116" s="24"/>
      <c r="T116" s="25"/>
      <c r="U116" s="24"/>
      <c r="V116" s="23"/>
      <c r="W116" s="25"/>
      <c r="X116" s="24"/>
      <c r="Y116" s="69"/>
      <c r="Z116" s="23"/>
      <c r="AA116" s="23"/>
      <c r="AB116" s="24"/>
      <c r="AC116" s="23"/>
      <c r="AD116" s="22"/>
    </row>
    <row r="117" spans="1:30" x14ac:dyDescent="0.25">
      <c r="D117" s="6" t="s">
        <v>111</v>
      </c>
      <c r="E117" s="6">
        <f>+E116-E115</f>
        <v>0</v>
      </c>
      <c r="F117" s="6">
        <f>+F116-F115</f>
        <v>237</v>
      </c>
      <c r="G117" s="6">
        <f>+G116-G115</f>
        <v>324</v>
      </c>
      <c r="H117" s="6">
        <f>+H116-H115</f>
        <v>376</v>
      </c>
      <c r="I117" s="6">
        <f>+I116-I115</f>
        <v>375</v>
      </c>
      <c r="J117" s="6">
        <f>SUM(E117:I117)</f>
        <v>1312</v>
      </c>
      <c r="N117" s="23"/>
      <c r="O117" s="23"/>
      <c r="P117" s="23"/>
      <c r="Q117" s="23"/>
      <c r="S117" s="24"/>
      <c r="T117" s="25"/>
      <c r="U117" s="24"/>
      <c r="V117" s="23"/>
      <c r="W117" s="25"/>
      <c r="X117" s="24"/>
      <c r="Y117" s="69"/>
      <c r="Z117" s="23"/>
      <c r="AA117" s="23"/>
      <c r="AB117" s="24"/>
      <c r="AC117" s="23"/>
      <c r="AD117" s="22"/>
    </row>
    <row r="118" spans="1:30" x14ac:dyDescent="0.25">
      <c r="D118" s="6" t="s">
        <v>112</v>
      </c>
      <c r="J118" s="6">
        <v>8596</v>
      </c>
      <c r="L118" s="6" t="s">
        <v>248</v>
      </c>
      <c r="N118" s="23">
        <v>0.25</v>
      </c>
      <c r="O118" s="23">
        <v>32</v>
      </c>
      <c r="P118" s="23">
        <v>6.6000000000000003E-2</v>
      </c>
      <c r="Q118" s="23">
        <v>5</v>
      </c>
      <c r="S118" s="24">
        <f>+J117*100</f>
        <v>131200</v>
      </c>
      <c r="T118" s="25">
        <f>+O118*1.02843*S118/1000000</f>
        <v>4.3177605120000004</v>
      </c>
      <c r="U118" s="135">
        <f>+T118/J119</f>
        <v>3.8284969753373667E-3</v>
      </c>
      <c r="V118" s="23" t="s">
        <v>113</v>
      </c>
      <c r="W118" s="25" t="s">
        <v>113</v>
      </c>
      <c r="X118" s="150">
        <f>(+N118)*(2*0.95*10000)/J118</f>
        <v>0.55258259655653796</v>
      </c>
      <c r="Y118" s="151">
        <v>0.52</v>
      </c>
      <c r="Z118" s="23">
        <f>+J117*100</f>
        <v>131200</v>
      </c>
      <c r="AA118" s="23">
        <f>+P118*Z118/1000000</f>
        <v>8.6592000000000006E-3</v>
      </c>
      <c r="AB118" s="71">
        <f>+AA118/J119*1000000</f>
        <v>7.6779897626803173</v>
      </c>
      <c r="AC118" s="139">
        <v>1.57</v>
      </c>
      <c r="AD118" s="128">
        <v>0.8</v>
      </c>
    </row>
    <row r="119" spans="1:30" x14ac:dyDescent="0.25">
      <c r="D119" s="6" t="s">
        <v>114</v>
      </c>
      <c r="J119" s="6">
        <f>+(J117*100*J118)/1000000</f>
        <v>1127.7952</v>
      </c>
      <c r="N119" s="23"/>
      <c r="O119" s="23"/>
      <c r="P119" s="23"/>
      <c r="Q119" s="23"/>
      <c r="S119" s="24"/>
      <c r="T119" s="25"/>
      <c r="U119" s="24"/>
      <c r="V119" s="23"/>
      <c r="W119" s="25"/>
      <c r="X119" s="24"/>
      <c r="Y119" s="69"/>
      <c r="Z119" s="23"/>
      <c r="AA119" s="23"/>
      <c r="AB119" s="24"/>
      <c r="AC119" s="23"/>
      <c r="AD119" s="22"/>
    </row>
    <row r="120" spans="1:30" x14ac:dyDescent="0.25">
      <c r="D120" s="6" t="s">
        <v>115</v>
      </c>
      <c r="J120" s="6">
        <f>+(J117*100*J118)/1000000/67*60</f>
        <v>1009.9658507462685</v>
      </c>
      <c r="K120" s="41">
        <v>1060</v>
      </c>
      <c r="N120" s="23"/>
      <c r="O120" s="23"/>
      <c r="P120" s="23"/>
      <c r="Q120" s="23"/>
      <c r="S120" s="24"/>
      <c r="T120" s="25"/>
      <c r="U120" s="24"/>
      <c r="V120" s="23"/>
      <c r="W120" s="25"/>
      <c r="X120" s="24"/>
      <c r="Y120" s="69"/>
      <c r="Z120" s="23"/>
      <c r="AA120" s="23"/>
      <c r="AB120" s="24"/>
      <c r="AC120" s="23"/>
      <c r="AD120" s="22"/>
    </row>
    <row r="121" spans="1:30" x14ac:dyDescent="0.25">
      <c r="S121" s="67"/>
      <c r="T121" s="22"/>
      <c r="U121" s="67"/>
      <c r="W121" s="22"/>
      <c r="X121" s="67"/>
      <c r="Y121" s="22"/>
      <c r="AB121" s="67"/>
      <c r="AD121" s="22"/>
    </row>
    <row r="122" spans="1:30" ht="21" x14ac:dyDescent="0.35">
      <c r="A122" s="15" t="s">
        <v>307</v>
      </c>
      <c r="S122" s="67"/>
      <c r="T122" s="22"/>
      <c r="U122" s="67"/>
      <c r="W122" s="22"/>
      <c r="X122" s="67"/>
      <c r="Y122" s="22"/>
      <c r="AB122" s="67"/>
      <c r="AD122" s="22"/>
    </row>
    <row r="123" spans="1:30" x14ac:dyDescent="0.25">
      <c r="A123" s="6" t="s">
        <v>122</v>
      </c>
      <c r="D123" s="6" t="s">
        <v>80</v>
      </c>
      <c r="N123" s="23"/>
      <c r="O123" s="23"/>
      <c r="P123" s="23"/>
      <c r="Q123" s="23"/>
      <c r="S123" s="24"/>
      <c r="T123" s="25"/>
      <c r="U123" s="24"/>
      <c r="V123" s="23"/>
      <c r="W123" s="25"/>
      <c r="X123" s="24"/>
      <c r="Y123" s="69"/>
      <c r="Z123" s="23"/>
      <c r="AA123" s="23"/>
      <c r="AB123" s="24"/>
      <c r="AC123" s="23"/>
      <c r="AD123" s="22"/>
    </row>
    <row r="124" spans="1:30" x14ac:dyDescent="0.25">
      <c r="A124" s="41">
        <v>1052</v>
      </c>
      <c r="B124" s="41">
        <v>1152</v>
      </c>
      <c r="D124" s="6">
        <v>150</v>
      </c>
      <c r="E124" s="6">
        <v>328460</v>
      </c>
      <c r="F124" s="6">
        <v>531054</v>
      </c>
      <c r="G124" s="6">
        <v>940836</v>
      </c>
      <c r="H124" s="6">
        <v>473930</v>
      </c>
      <c r="I124" s="6">
        <v>486004</v>
      </c>
      <c r="N124" s="23"/>
      <c r="O124" s="23"/>
      <c r="P124" s="23"/>
      <c r="Q124" s="23"/>
      <c r="S124" s="24"/>
      <c r="T124" s="25"/>
      <c r="U124" s="24"/>
      <c r="V124" s="23"/>
      <c r="W124" s="25"/>
      <c r="X124" s="24"/>
      <c r="Y124" s="69"/>
      <c r="Z124" s="23"/>
      <c r="AA124" s="23"/>
      <c r="AB124" s="24"/>
      <c r="AC124" s="23"/>
      <c r="AD124" s="22"/>
    </row>
    <row r="125" spans="1:30" x14ac:dyDescent="0.25">
      <c r="A125" s="6" t="s">
        <v>195</v>
      </c>
      <c r="E125" s="6">
        <v>328740</v>
      </c>
      <c r="F125" s="6">
        <v>531335</v>
      </c>
      <c r="G125" s="6">
        <v>941240</v>
      </c>
      <c r="H125" s="6">
        <v>474335</v>
      </c>
      <c r="I125" s="6">
        <v>486408</v>
      </c>
      <c r="N125" s="23"/>
      <c r="O125" s="23"/>
      <c r="P125" s="23"/>
      <c r="Q125" s="23"/>
      <c r="S125" s="24"/>
      <c r="T125" s="25"/>
      <c r="U125" s="24"/>
      <c r="V125" s="23"/>
      <c r="W125" s="25"/>
      <c r="X125" s="24"/>
      <c r="Y125" s="69"/>
      <c r="Z125" s="23"/>
      <c r="AA125" s="23"/>
      <c r="AB125" s="24"/>
      <c r="AC125" s="23"/>
      <c r="AD125" s="22"/>
    </row>
    <row r="126" spans="1:30" x14ac:dyDescent="0.25">
      <c r="D126" s="6" t="s">
        <v>111</v>
      </c>
      <c r="E126" s="6">
        <f>+E125-E124</f>
        <v>280</v>
      </c>
      <c r="F126" s="6">
        <f>+F125-F124</f>
        <v>281</v>
      </c>
      <c r="G126" s="6">
        <f>+G125-G124</f>
        <v>404</v>
      </c>
      <c r="H126" s="6">
        <f>+H125-H124</f>
        <v>405</v>
      </c>
      <c r="I126" s="6">
        <f>+I125-I124</f>
        <v>404</v>
      </c>
      <c r="J126" s="6">
        <f>SUM(E126:I126)</f>
        <v>1774</v>
      </c>
      <c r="N126" s="23"/>
      <c r="O126" s="23"/>
      <c r="P126" s="23"/>
      <c r="Q126" s="23"/>
      <c r="S126" s="24"/>
      <c r="T126" s="25"/>
      <c r="U126" s="24"/>
      <c r="V126" s="23"/>
      <c r="W126" s="25"/>
      <c r="X126" s="24"/>
      <c r="Y126" s="69"/>
      <c r="Z126" s="23"/>
      <c r="AA126" s="23"/>
      <c r="AB126" s="24"/>
      <c r="AC126" s="23"/>
      <c r="AD126" s="22"/>
    </row>
    <row r="127" spans="1:30" x14ac:dyDescent="0.25">
      <c r="D127" s="6" t="s">
        <v>112</v>
      </c>
      <c r="J127" s="6">
        <v>8825</v>
      </c>
      <c r="L127" s="6" t="s">
        <v>253</v>
      </c>
      <c r="N127" s="23">
        <v>0.22</v>
      </c>
      <c r="O127" s="39">
        <v>25</v>
      </c>
      <c r="P127" s="23">
        <v>4.3999999999999997E-2</v>
      </c>
      <c r="Q127" s="23">
        <v>4.6399999999999997</v>
      </c>
      <c r="S127" s="24">
        <f>+J126*100</f>
        <v>177400</v>
      </c>
      <c r="T127" s="25">
        <f>+O127*1.02843*S127/1000000</f>
        <v>4.5610870500000003</v>
      </c>
      <c r="U127" s="135">
        <f>+T127/J128</f>
        <v>2.9133994334277621E-3</v>
      </c>
      <c r="V127" s="23" t="s">
        <v>113</v>
      </c>
      <c r="W127" s="25" t="s">
        <v>113</v>
      </c>
      <c r="X127" s="150">
        <f>(+N127)*(2*0.95*10000)/J127</f>
        <v>0.47365439093484418</v>
      </c>
      <c r="Y127" s="151">
        <v>0.42</v>
      </c>
      <c r="Z127" s="23">
        <f>+J126*100</f>
        <v>177400</v>
      </c>
      <c r="AA127" s="23">
        <f>+P127*Z127/1000000</f>
        <v>7.8055999999999993E-3</v>
      </c>
      <c r="AB127" s="71">
        <f>+AA127/J128*1000000</f>
        <v>4.9858356940509916</v>
      </c>
      <c r="AC127" s="139">
        <v>1.59</v>
      </c>
      <c r="AD127" s="128">
        <v>0.95</v>
      </c>
    </row>
    <row r="128" spans="1:30" x14ac:dyDescent="0.25">
      <c r="D128" s="6" t="s">
        <v>114</v>
      </c>
      <c r="J128" s="6">
        <f>+(J126*100*J127)/1000000</f>
        <v>1565.5550000000001</v>
      </c>
      <c r="N128" s="23"/>
      <c r="O128" s="23"/>
      <c r="P128" s="23"/>
      <c r="Q128" s="23"/>
      <c r="S128" s="24"/>
      <c r="T128" s="25"/>
      <c r="U128" s="24"/>
      <c r="V128" s="23"/>
      <c r="W128" s="25"/>
      <c r="X128" s="24"/>
      <c r="Y128" s="69"/>
      <c r="Z128" s="23"/>
      <c r="AA128" s="23"/>
      <c r="AB128" s="24"/>
      <c r="AC128" s="23"/>
      <c r="AD128" s="22"/>
    </row>
    <row r="129" spans="1:30" x14ac:dyDescent="0.25">
      <c r="D129" s="6" t="s">
        <v>115</v>
      </c>
      <c r="J129" s="6">
        <f>+(J126*100*J127)/1000000/60*60</f>
        <v>1565.5550000000001</v>
      </c>
      <c r="K129" s="41">
        <v>1208</v>
      </c>
      <c r="N129" s="23"/>
      <c r="O129" s="23"/>
      <c r="P129" s="23"/>
      <c r="Q129" s="23"/>
      <c r="S129" s="24"/>
      <c r="T129" s="25"/>
      <c r="U129" s="24"/>
      <c r="V129" s="23"/>
      <c r="W129" s="25"/>
      <c r="X129" s="24"/>
      <c r="Y129" s="69"/>
      <c r="Z129" s="23"/>
      <c r="AA129" s="23"/>
      <c r="AB129" s="24"/>
      <c r="AC129" s="23"/>
      <c r="AD129" s="22"/>
    </row>
    <row r="130" spans="1:30" x14ac:dyDescent="0.25">
      <c r="S130" s="67"/>
      <c r="T130" s="22"/>
      <c r="U130" s="67"/>
      <c r="W130" s="22"/>
      <c r="X130" s="67"/>
      <c r="Y130" s="22"/>
      <c r="AB130" s="67"/>
      <c r="AD130" s="22"/>
    </row>
    <row r="131" spans="1:30" x14ac:dyDescent="0.25">
      <c r="A131" s="6" t="s">
        <v>124</v>
      </c>
      <c r="D131" s="6" t="s">
        <v>80</v>
      </c>
      <c r="N131" s="23"/>
      <c r="O131" s="23"/>
      <c r="P131" s="23"/>
      <c r="Q131" s="23"/>
      <c r="S131" s="24"/>
      <c r="T131" s="25"/>
      <c r="U131" s="24"/>
      <c r="V131" s="23"/>
      <c r="W131" s="25"/>
      <c r="X131" s="24"/>
      <c r="Y131" s="69"/>
      <c r="Z131" s="23"/>
      <c r="AA131" s="23"/>
      <c r="AB131" s="24"/>
      <c r="AC131" s="23"/>
      <c r="AD131" s="22"/>
    </row>
    <row r="132" spans="1:30" x14ac:dyDescent="0.25">
      <c r="A132" s="41">
        <v>1314</v>
      </c>
      <c r="B132" s="41">
        <v>1420</v>
      </c>
      <c r="D132" s="6">
        <v>176</v>
      </c>
      <c r="E132" s="6">
        <v>329171</v>
      </c>
      <c r="F132" s="6">
        <v>531829</v>
      </c>
      <c r="G132" s="6">
        <v>941814</v>
      </c>
      <c r="H132" s="6">
        <v>474928</v>
      </c>
      <c r="I132" s="6">
        <v>487001</v>
      </c>
      <c r="N132" s="23"/>
      <c r="O132" s="23"/>
      <c r="P132" s="23"/>
      <c r="Q132" s="23"/>
      <c r="S132" s="24"/>
      <c r="T132" s="25"/>
      <c r="U132" s="24"/>
      <c r="V132" s="23"/>
      <c r="W132" s="25"/>
      <c r="X132" s="24"/>
      <c r="Y132" s="69"/>
      <c r="Z132" s="23"/>
      <c r="AA132" s="23"/>
      <c r="AB132" s="24"/>
      <c r="AC132" s="23"/>
      <c r="AD132" s="22"/>
    </row>
    <row r="133" spans="1:30" x14ac:dyDescent="0.25">
      <c r="A133" s="6" t="s">
        <v>195</v>
      </c>
      <c r="E133" s="6">
        <v>329622</v>
      </c>
      <c r="F133" s="6">
        <v>532307</v>
      </c>
      <c r="G133" s="6">
        <v>942305</v>
      </c>
      <c r="H133" s="6">
        <v>475419</v>
      </c>
      <c r="I133" s="6">
        <v>487491</v>
      </c>
      <c r="N133" s="23"/>
      <c r="O133" s="23"/>
      <c r="P133" s="23"/>
      <c r="Q133" s="23"/>
      <c r="S133" s="24"/>
      <c r="T133" s="25"/>
      <c r="U133" s="24"/>
      <c r="V133" s="23"/>
      <c r="W133" s="25"/>
      <c r="X133" s="24"/>
      <c r="Y133" s="69"/>
      <c r="Z133" s="23"/>
      <c r="AA133" s="23"/>
      <c r="AB133" s="24"/>
      <c r="AC133" s="23"/>
      <c r="AD133" s="22"/>
    </row>
    <row r="134" spans="1:30" x14ac:dyDescent="0.25">
      <c r="D134" s="6" t="s">
        <v>111</v>
      </c>
      <c r="E134" s="6">
        <f>+E133-E132</f>
        <v>451</v>
      </c>
      <c r="F134" s="6">
        <f>+F133-F132</f>
        <v>478</v>
      </c>
      <c r="G134" s="6">
        <f>+G133-G132</f>
        <v>491</v>
      </c>
      <c r="H134" s="6">
        <f>+H133-H132</f>
        <v>491</v>
      </c>
      <c r="I134" s="6">
        <f>+I133-I132</f>
        <v>490</v>
      </c>
      <c r="J134" s="6">
        <f>SUM(E134:I134)</f>
        <v>2401</v>
      </c>
      <c r="N134" s="23"/>
      <c r="O134" s="23"/>
      <c r="P134" s="23"/>
      <c r="Q134" s="23"/>
      <c r="S134" s="24"/>
      <c r="T134" s="25"/>
      <c r="U134" s="24"/>
      <c r="V134" s="23"/>
      <c r="W134" s="25"/>
      <c r="X134" s="24"/>
      <c r="Y134" s="69"/>
      <c r="Z134" s="23"/>
      <c r="AA134" s="23"/>
      <c r="AB134" s="24"/>
      <c r="AC134" s="23"/>
      <c r="AD134" s="22"/>
    </row>
    <row r="135" spans="1:30" x14ac:dyDescent="0.25">
      <c r="D135" s="6" t="s">
        <v>112</v>
      </c>
      <c r="J135" s="6">
        <v>8825</v>
      </c>
      <c r="L135" s="6" t="s">
        <v>253</v>
      </c>
      <c r="N135" s="23">
        <v>0.22</v>
      </c>
      <c r="O135" s="39">
        <v>25</v>
      </c>
      <c r="P135" s="23">
        <v>4.3999999999999997E-2</v>
      </c>
      <c r="Q135" s="23">
        <v>4.6399999999999997</v>
      </c>
      <c r="S135" s="24">
        <f>+J134*100</f>
        <v>240100</v>
      </c>
      <c r="T135" s="25">
        <f>+O135*1.02843*S135/1000000</f>
        <v>6.1731510749999989</v>
      </c>
      <c r="U135" s="135">
        <f>+T135/J136</f>
        <v>2.9133994334277612E-3</v>
      </c>
      <c r="V135" s="23" t="s">
        <v>113</v>
      </c>
      <c r="W135" s="25" t="s">
        <v>113</v>
      </c>
      <c r="X135" s="150">
        <f>(+N135)*(2*0.95*10000)/J135</f>
        <v>0.47365439093484418</v>
      </c>
      <c r="Y135" s="151">
        <v>0.42</v>
      </c>
      <c r="Z135" s="23">
        <f>+J134*100</f>
        <v>240100</v>
      </c>
      <c r="AA135" s="23">
        <f>+P135*Z135/1000000</f>
        <v>1.05644E-2</v>
      </c>
      <c r="AB135" s="71">
        <f>+AA135/J136*1000000</f>
        <v>4.9858356940509916</v>
      </c>
      <c r="AC135" s="139">
        <v>1.62</v>
      </c>
      <c r="AD135" s="128">
        <v>1.05</v>
      </c>
    </row>
    <row r="136" spans="1:30" x14ac:dyDescent="0.25">
      <c r="D136" s="6" t="s">
        <v>114</v>
      </c>
      <c r="J136" s="6">
        <f>+(J134*100*J135)/1000000</f>
        <v>2118.8825000000002</v>
      </c>
      <c r="N136" s="23"/>
      <c r="O136" s="23"/>
      <c r="P136" s="23"/>
      <c r="Q136" s="23"/>
      <c r="S136" s="24"/>
      <c r="T136" s="25"/>
      <c r="U136" s="24"/>
      <c r="V136" s="23"/>
      <c r="W136" s="25"/>
      <c r="X136" s="24"/>
      <c r="Y136" s="69"/>
      <c r="Z136" s="23"/>
      <c r="AA136" s="23"/>
      <c r="AB136" s="24"/>
      <c r="AC136" s="23"/>
      <c r="AD136" s="22"/>
    </row>
    <row r="137" spans="1:30" x14ac:dyDescent="0.25">
      <c r="D137" s="6" t="s">
        <v>115</v>
      </c>
      <c r="J137" s="6">
        <f>+(J134*100*J135)/1000000/66*60</f>
        <v>1926.2568181818185</v>
      </c>
      <c r="K137" s="41">
        <v>1707</v>
      </c>
      <c r="N137" s="23"/>
      <c r="O137" s="23"/>
      <c r="P137" s="23"/>
      <c r="Q137" s="23"/>
      <c r="S137" s="24"/>
      <c r="T137" s="25"/>
      <c r="U137" s="24"/>
      <c r="V137" s="23"/>
      <c r="W137" s="25"/>
      <c r="X137" s="24"/>
      <c r="Y137" s="69"/>
      <c r="Z137" s="23"/>
      <c r="AA137" s="23"/>
      <c r="AB137" s="24"/>
      <c r="AC137" s="23"/>
      <c r="AD137" s="22"/>
    </row>
    <row r="138" spans="1:30" x14ac:dyDescent="0.25">
      <c r="S138" s="67"/>
      <c r="T138" s="22"/>
      <c r="U138" s="67"/>
      <c r="W138" s="22"/>
      <c r="X138" s="67"/>
      <c r="Y138" s="22"/>
      <c r="AB138" s="67"/>
      <c r="AD138" s="22"/>
    </row>
    <row r="139" spans="1:30" x14ac:dyDescent="0.25">
      <c r="A139" s="6" t="s">
        <v>125</v>
      </c>
      <c r="D139" s="6" t="s">
        <v>80</v>
      </c>
      <c r="N139" s="23"/>
      <c r="O139" s="23"/>
      <c r="P139" s="23"/>
      <c r="Q139" s="23"/>
      <c r="S139" s="24"/>
      <c r="T139" s="25"/>
      <c r="U139" s="24"/>
      <c r="V139" s="23"/>
      <c r="W139" s="25"/>
      <c r="X139" s="24"/>
      <c r="Y139" s="69"/>
      <c r="Z139" s="23"/>
      <c r="AA139" s="23"/>
      <c r="AB139" s="24"/>
      <c r="AC139" s="23"/>
      <c r="AD139" s="22"/>
    </row>
    <row r="140" spans="1:30" x14ac:dyDescent="0.25">
      <c r="A140" s="41">
        <v>1516</v>
      </c>
      <c r="B140" s="41">
        <v>1620</v>
      </c>
      <c r="D140" s="6">
        <v>195</v>
      </c>
      <c r="E140" s="6">
        <v>329985</v>
      </c>
      <c r="F140" s="6">
        <v>532670</v>
      </c>
      <c r="G140" s="6">
        <v>942670</v>
      </c>
      <c r="H140" s="6">
        <v>474928</v>
      </c>
      <c r="I140" s="6">
        <v>487001</v>
      </c>
      <c r="N140" s="23"/>
      <c r="O140" s="23"/>
      <c r="P140" s="23"/>
      <c r="Q140" s="23"/>
      <c r="S140" s="24"/>
      <c r="T140" s="25"/>
      <c r="U140" s="24"/>
      <c r="V140" s="23"/>
      <c r="W140" s="25"/>
      <c r="X140" s="24"/>
      <c r="Y140" s="69"/>
      <c r="Z140" s="23"/>
      <c r="AA140" s="23"/>
      <c r="AB140" s="24"/>
      <c r="AC140" s="23"/>
      <c r="AD140" s="22"/>
    </row>
    <row r="141" spans="1:30" x14ac:dyDescent="0.25">
      <c r="A141" s="6" t="s">
        <v>196</v>
      </c>
      <c r="E141" s="6">
        <v>330501</v>
      </c>
      <c r="F141" s="6">
        <v>533185</v>
      </c>
      <c r="G141" s="6">
        <v>943186</v>
      </c>
      <c r="H141" s="6">
        <v>475419</v>
      </c>
      <c r="I141" s="6">
        <v>487491</v>
      </c>
      <c r="N141" s="23"/>
      <c r="O141" s="23"/>
      <c r="P141" s="23"/>
      <c r="Q141" s="23"/>
      <c r="S141" s="24"/>
      <c r="T141" s="25"/>
      <c r="U141" s="24"/>
      <c r="V141" s="23"/>
      <c r="W141" s="25"/>
      <c r="X141" s="24"/>
      <c r="Y141" s="69"/>
      <c r="Z141" s="23"/>
      <c r="AA141" s="23"/>
      <c r="AB141" s="24"/>
      <c r="AC141" s="23"/>
      <c r="AD141" s="22"/>
    </row>
    <row r="142" spans="1:30" x14ac:dyDescent="0.25">
      <c r="D142" s="6" t="s">
        <v>111</v>
      </c>
      <c r="E142" s="6">
        <f>+E141-E140</f>
        <v>516</v>
      </c>
      <c r="F142" s="6">
        <f>+F141-F140</f>
        <v>515</v>
      </c>
      <c r="G142" s="6">
        <f>+G141-G140</f>
        <v>516</v>
      </c>
      <c r="H142" s="6">
        <f>+H141-H140</f>
        <v>491</v>
      </c>
      <c r="I142" s="6">
        <f>+I141-I140</f>
        <v>490</v>
      </c>
      <c r="J142" s="6">
        <f>SUM(E142:I142)</f>
        <v>2528</v>
      </c>
      <c r="N142" s="23"/>
      <c r="O142" s="23"/>
      <c r="P142" s="23"/>
      <c r="Q142" s="23"/>
      <c r="S142" s="24"/>
      <c r="T142" s="25"/>
      <c r="U142" s="24"/>
      <c r="V142" s="23"/>
      <c r="W142" s="25"/>
      <c r="X142" s="24"/>
      <c r="Y142" s="69"/>
      <c r="Z142" s="23"/>
      <c r="AA142" s="23"/>
      <c r="AB142" s="24"/>
      <c r="AC142" s="23"/>
      <c r="AD142" s="22"/>
    </row>
    <row r="143" spans="1:30" x14ac:dyDescent="0.25">
      <c r="D143" s="6" t="s">
        <v>112</v>
      </c>
      <c r="J143" s="6">
        <v>8825</v>
      </c>
      <c r="L143" s="6" t="s">
        <v>253</v>
      </c>
      <c r="N143" s="23">
        <v>0.22</v>
      </c>
      <c r="O143" s="39">
        <v>25</v>
      </c>
      <c r="P143" s="23">
        <v>4.3999999999999997E-2</v>
      </c>
      <c r="Q143" s="23">
        <v>4.6399999999999997</v>
      </c>
      <c r="S143" s="24">
        <f>+J142*100</f>
        <v>252800</v>
      </c>
      <c r="T143" s="25">
        <f>+O143*1.02843*S143/1000000</f>
        <v>6.4996776000000001</v>
      </c>
      <c r="U143" s="135">
        <f>+T143/J144</f>
        <v>2.9133994334277621E-3</v>
      </c>
      <c r="V143" s="23" t="s">
        <v>113</v>
      </c>
      <c r="W143" s="25" t="s">
        <v>113</v>
      </c>
      <c r="X143" s="150">
        <f>(+N143)*(2*0.95*10000)/J143</f>
        <v>0.47365439093484418</v>
      </c>
      <c r="Y143" s="151">
        <v>0.43</v>
      </c>
      <c r="Z143" s="23">
        <f>+J142*100</f>
        <v>252800</v>
      </c>
      <c r="AA143" s="23">
        <f>+P143*Z143/1000000</f>
        <v>1.11232E-2</v>
      </c>
      <c r="AB143" s="71">
        <f>+AA143/J144*1000000</f>
        <v>4.9858356940509916</v>
      </c>
      <c r="AC143" s="139">
        <v>2.34</v>
      </c>
      <c r="AD143" s="142">
        <v>1.43</v>
      </c>
    </row>
    <row r="144" spans="1:30" x14ac:dyDescent="0.25">
      <c r="D144" s="6" t="s">
        <v>114</v>
      </c>
      <c r="J144" s="6">
        <f>+(J142*100*J143)/1000000</f>
        <v>2230.96</v>
      </c>
      <c r="N144" s="23"/>
      <c r="O144" s="23"/>
      <c r="P144" s="23"/>
      <c r="Q144" s="23"/>
      <c r="S144" s="24"/>
      <c r="T144" s="25"/>
      <c r="U144" s="24"/>
      <c r="V144" s="23"/>
      <c r="W144" s="25"/>
      <c r="X144" s="24"/>
      <c r="Y144" s="69"/>
      <c r="Z144" s="23"/>
      <c r="AA144" s="23"/>
      <c r="AB144" s="24"/>
      <c r="AC144" s="23"/>
      <c r="AD144" s="22"/>
    </row>
    <row r="145" spans="1:30" x14ac:dyDescent="0.25">
      <c r="D145" s="6" t="s">
        <v>115</v>
      </c>
      <c r="J145" s="6">
        <f>+(J142*100*J143)/1000000/66*60</f>
        <v>2028.1454545454546</v>
      </c>
      <c r="K145" s="41">
        <v>1874</v>
      </c>
      <c r="N145" s="23"/>
      <c r="O145" s="23"/>
      <c r="P145" s="23"/>
      <c r="Q145" s="23"/>
      <c r="S145" s="24"/>
      <c r="T145" s="25"/>
      <c r="U145" s="24"/>
      <c r="V145" s="23"/>
      <c r="W145" s="25"/>
      <c r="X145" s="24"/>
      <c r="Y145" s="69"/>
      <c r="Z145" s="23"/>
      <c r="AA145" s="23"/>
      <c r="AB145" s="24"/>
      <c r="AC145" s="23"/>
      <c r="AD145" s="22"/>
    </row>
    <row r="146" spans="1:30" x14ac:dyDescent="0.25">
      <c r="S146" s="67"/>
      <c r="T146" s="22"/>
      <c r="U146" s="67"/>
      <c r="W146" s="22"/>
      <c r="X146" s="67"/>
      <c r="Y146" s="22"/>
      <c r="AB146" s="67"/>
      <c r="AD146" s="22"/>
    </row>
    <row r="147" spans="1:30" ht="21" x14ac:dyDescent="0.35">
      <c r="A147" s="15" t="s">
        <v>308</v>
      </c>
      <c r="S147" s="67"/>
      <c r="T147" s="22"/>
      <c r="U147" s="67"/>
      <c r="W147" s="22"/>
      <c r="X147" s="67"/>
      <c r="Y147" s="22"/>
      <c r="AB147" s="67"/>
      <c r="AD147" s="22"/>
    </row>
    <row r="148" spans="1:30" x14ac:dyDescent="0.25">
      <c r="A148" s="6" t="s">
        <v>197</v>
      </c>
      <c r="D148" s="6" t="s">
        <v>80</v>
      </c>
      <c r="N148" s="23"/>
      <c r="O148" s="23"/>
      <c r="P148" s="23"/>
      <c r="Q148" s="23"/>
      <c r="S148" s="24"/>
      <c r="T148" s="25"/>
      <c r="U148" s="24"/>
      <c r="V148" s="23"/>
      <c r="W148" s="25"/>
      <c r="X148" s="24"/>
      <c r="Y148" s="69"/>
      <c r="Z148" s="23"/>
      <c r="AA148" s="23"/>
      <c r="AB148" s="24"/>
      <c r="AC148" s="23"/>
      <c r="AD148" s="22"/>
    </row>
    <row r="149" spans="1:30" x14ac:dyDescent="0.25">
      <c r="A149" s="41">
        <v>942</v>
      </c>
      <c r="B149" s="41">
        <v>1053</v>
      </c>
      <c r="D149" s="6">
        <v>90</v>
      </c>
      <c r="E149" s="6">
        <v>332781</v>
      </c>
      <c r="F149" s="6">
        <v>538403</v>
      </c>
      <c r="G149" s="6">
        <v>948833</v>
      </c>
      <c r="H149" s="6">
        <v>481931</v>
      </c>
      <c r="I149" s="6">
        <v>493992</v>
      </c>
      <c r="N149" s="23"/>
      <c r="O149" s="23"/>
      <c r="P149" s="23"/>
      <c r="Q149" s="23"/>
      <c r="S149" s="24"/>
      <c r="T149" s="25"/>
      <c r="U149" s="24"/>
      <c r="V149" s="23"/>
      <c r="W149" s="25"/>
      <c r="X149" s="24"/>
      <c r="Y149" s="69"/>
      <c r="Z149" s="23"/>
      <c r="AA149" s="23"/>
      <c r="AB149" s="24"/>
      <c r="AC149" s="23"/>
      <c r="AD149" s="22"/>
    </row>
    <row r="150" spans="1:30" x14ac:dyDescent="0.25">
      <c r="A150" s="6" t="s">
        <v>194</v>
      </c>
      <c r="E150" s="6">
        <v>332781</v>
      </c>
      <c r="F150" s="6">
        <v>538636</v>
      </c>
      <c r="G150" s="6">
        <v>949175</v>
      </c>
      <c r="H150" s="6">
        <v>482273</v>
      </c>
      <c r="I150" s="6">
        <v>494332</v>
      </c>
      <c r="N150" s="23"/>
      <c r="O150" s="23"/>
      <c r="P150" s="23"/>
      <c r="Q150" s="23"/>
      <c r="S150" s="24"/>
      <c r="T150" s="25"/>
      <c r="U150" s="24"/>
      <c r="V150" s="23"/>
      <c r="W150" s="25"/>
      <c r="X150" s="24"/>
      <c r="Y150" s="69"/>
      <c r="Z150" s="23"/>
      <c r="AA150" s="23"/>
      <c r="AB150" s="24"/>
      <c r="AC150" s="23"/>
      <c r="AD150" s="22"/>
    </row>
    <row r="151" spans="1:30" x14ac:dyDescent="0.25">
      <c r="D151" s="6" t="s">
        <v>111</v>
      </c>
      <c r="E151" s="6">
        <f>+E150-E149</f>
        <v>0</v>
      </c>
      <c r="F151" s="6">
        <f>+F150-F149</f>
        <v>233</v>
      </c>
      <c r="G151" s="6">
        <f>+G150-G149</f>
        <v>342</v>
      </c>
      <c r="H151" s="6">
        <f>+H150-H149</f>
        <v>342</v>
      </c>
      <c r="I151" s="6">
        <f>+I150-I149</f>
        <v>340</v>
      </c>
      <c r="J151" s="6">
        <f>SUM(E151:I151)</f>
        <v>1257</v>
      </c>
      <c r="N151" s="23"/>
      <c r="O151" s="23"/>
      <c r="P151" s="23"/>
      <c r="Q151" s="23"/>
      <c r="S151" s="24"/>
      <c r="T151" s="25"/>
      <c r="U151" s="24"/>
      <c r="V151" s="23"/>
      <c r="W151" s="25"/>
      <c r="X151" s="24"/>
      <c r="Y151" s="69"/>
      <c r="Z151" s="23"/>
      <c r="AA151" s="23"/>
      <c r="AB151" s="24"/>
      <c r="AC151" s="23"/>
      <c r="AD151" s="22"/>
    </row>
    <row r="152" spans="1:30" x14ac:dyDescent="0.25">
      <c r="D152" s="6" t="s">
        <v>112</v>
      </c>
      <c r="J152" s="6">
        <v>8595</v>
      </c>
      <c r="L152" s="6" t="s">
        <v>254</v>
      </c>
      <c r="N152" s="23">
        <v>0.26</v>
      </c>
      <c r="O152" s="23">
        <v>56</v>
      </c>
      <c r="P152" s="23">
        <v>3.7999999999999999E-2</v>
      </c>
      <c r="Q152" s="23">
        <v>5.24</v>
      </c>
      <c r="S152" s="24">
        <f>+J151*100</f>
        <v>125700</v>
      </c>
      <c r="T152" s="25">
        <f>+O152*1.02843*S152/1000000</f>
        <v>7.2393244559999994</v>
      </c>
      <c r="U152" s="135">
        <f>+T152/J153</f>
        <v>6.7006492146596854E-3</v>
      </c>
      <c r="V152" s="23" t="s">
        <v>113</v>
      </c>
      <c r="W152" s="25" t="s">
        <v>113</v>
      </c>
      <c r="X152" s="126">
        <f>(+N152)*(2*0.95*10000)/J152</f>
        <v>0.57475276323443858</v>
      </c>
      <c r="Y152" s="127">
        <v>0.46</v>
      </c>
      <c r="Z152" s="23">
        <f>+J151*100</f>
        <v>125700</v>
      </c>
      <c r="AA152" s="23">
        <f>+P152*Z152/1000000</f>
        <v>4.7765999999999998E-3</v>
      </c>
      <c r="AB152" s="71">
        <f>+AA152/J153*1000000</f>
        <v>4.4211751018033736</v>
      </c>
      <c r="AC152" s="23" t="s">
        <v>113</v>
      </c>
      <c r="AD152" s="128">
        <v>0.99</v>
      </c>
    </row>
    <row r="153" spans="1:30" x14ac:dyDescent="0.25">
      <c r="D153" s="6" t="s">
        <v>114</v>
      </c>
      <c r="J153" s="6">
        <f>+(J151*100*J152)/1000000</f>
        <v>1080.3915</v>
      </c>
      <c r="N153" s="23"/>
      <c r="O153" s="23"/>
      <c r="P153" s="23"/>
      <c r="Q153" s="23"/>
      <c r="S153" s="24"/>
      <c r="T153" s="25"/>
      <c r="U153" s="24"/>
      <c r="V153" s="23"/>
      <c r="W153" s="25"/>
      <c r="X153" s="24"/>
      <c r="Y153" s="69"/>
      <c r="Z153" s="23"/>
      <c r="AA153" s="23"/>
      <c r="AB153" s="24"/>
      <c r="AC153" s="23"/>
      <c r="AD153" s="22"/>
    </row>
    <row r="154" spans="1:30" x14ac:dyDescent="0.25">
      <c r="D154" s="6" t="s">
        <v>115</v>
      </c>
      <c r="J154" s="6">
        <f>+(J151*100*J152)/1000000/71*60</f>
        <v>913.00690140845074</v>
      </c>
      <c r="K154" s="41" t="s">
        <v>113</v>
      </c>
      <c r="N154" s="23"/>
      <c r="O154" s="23"/>
      <c r="P154" s="23"/>
      <c r="Q154" s="23"/>
      <c r="S154" s="24"/>
      <c r="T154" s="25"/>
      <c r="U154" s="24"/>
      <c r="V154" s="23"/>
      <c r="W154" s="25"/>
      <c r="X154" s="24"/>
      <c r="Y154" s="69"/>
      <c r="Z154" s="23"/>
      <c r="AA154" s="23"/>
      <c r="AB154" s="24"/>
      <c r="AC154" s="23"/>
      <c r="AD154" s="22"/>
    </row>
    <row r="155" spans="1:30" x14ac:dyDescent="0.25">
      <c r="S155" s="67"/>
      <c r="T155" s="22"/>
      <c r="U155" s="67"/>
      <c r="W155" s="22"/>
      <c r="X155" s="67"/>
      <c r="Y155" s="22"/>
      <c r="AB155" s="67"/>
      <c r="AD155" s="22"/>
    </row>
    <row r="156" spans="1:30" ht="21" x14ac:dyDescent="0.35">
      <c r="A156" s="15" t="s">
        <v>309</v>
      </c>
      <c r="S156" s="67"/>
      <c r="T156" s="22"/>
      <c r="U156" s="67"/>
      <c r="W156" s="22"/>
      <c r="X156" s="67"/>
      <c r="Y156" s="22"/>
      <c r="AB156" s="67"/>
      <c r="AD156" s="22"/>
    </row>
    <row r="157" spans="1:30" x14ac:dyDescent="0.25">
      <c r="A157" s="6" t="s">
        <v>126</v>
      </c>
      <c r="D157" s="6" t="s">
        <v>80</v>
      </c>
      <c r="N157" s="23"/>
      <c r="O157" s="23"/>
      <c r="P157" s="23"/>
      <c r="Q157" s="23"/>
      <c r="S157" s="24"/>
      <c r="T157" s="25"/>
      <c r="U157" s="24"/>
      <c r="V157" s="23"/>
      <c r="W157" s="25"/>
      <c r="X157" s="24"/>
      <c r="Y157" s="69"/>
      <c r="Z157" s="23"/>
      <c r="AA157" s="23"/>
      <c r="AB157" s="24"/>
      <c r="AC157" s="23"/>
      <c r="AD157" s="22"/>
    </row>
    <row r="158" spans="1:30" x14ac:dyDescent="0.25">
      <c r="A158" s="41">
        <v>920</v>
      </c>
      <c r="B158" s="41">
        <v>1020</v>
      </c>
      <c r="D158" s="6">
        <v>150</v>
      </c>
      <c r="E158" s="6">
        <v>333151</v>
      </c>
      <c r="F158" s="6">
        <v>542643</v>
      </c>
      <c r="G158" s="6">
        <v>955532</v>
      </c>
      <c r="H158" s="6">
        <v>488657</v>
      </c>
      <c r="I158" s="6">
        <v>500691</v>
      </c>
      <c r="N158" s="23"/>
      <c r="O158" s="23"/>
      <c r="P158" s="23"/>
      <c r="Q158" s="23"/>
      <c r="S158" s="24"/>
      <c r="T158" s="25"/>
      <c r="U158" s="24"/>
      <c r="V158" s="23"/>
      <c r="W158" s="25"/>
      <c r="X158" s="24"/>
      <c r="Y158" s="69"/>
      <c r="Z158" s="23"/>
      <c r="AA158" s="23"/>
      <c r="AB158" s="24"/>
      <c r="AC158" s="23"/>
      <c r="AD158" s="22"/>
    </row>
    <row r="159" spans="1:30" x14ac:dyDescent="0.25">
      <c r="A159" s="6" t="s">
        <v>195</v>
      </c>
      <c r="E159" s="6">
        <v>333474</v>
      </c>
      <c r="F159" s="6">
        <v>543009</v>
      </c>
      <c r="G159" s="6">
        <v>955897</v>
      </c>
      <c r="H159" s="6">
        <v>489024</v>
      </c>
      <c r="I159" s="6">
        <v>501057</v>
      </c>
      <c r="N159" s="23"/>
      <c r="O159" s="23"/>
      <c r="P159" s="23"/>
      <c r="Q159" s="23"/>
      <c r="S159" s="24"/>
      <c r="T159" s="25"/>
      <c r="U159" s="24"/>
      <c r="V159" s="23"/>
      <c r="W159" s="25"/>
      <c r="X159" s="24"/>
      <c r="Y159" s="69"/>
      <c r="Z159" s="23"/>
      <c r="AA159" s="23"/>
      <c r="AB159" s="24"/>
      <c r="AC159" s="23"/>
      <c r="AD159" s="22"/>
    </row>
    <row r="160" spans="1:30" x14ac:dyDescent="0.25">
      <c r="D160" s="6" t="s">
        <v>111</v>
      </c>
      <c r="E160" s="6">
        <f>+E159-E158</f>
        <v>323</v>
      </c>
      <c r="F160" s="6">
        <f>+F159-F158</f>
        <v>366</v>
      </c>
      <c r="G160" s="6">
        <f>+G159-G158</f>
        <v>365</v>
      </c>
      <c r="H160" s="6">
        <f>+H159-H158</f>
        <v>367</v>
      </c>
      <c r="I160" s="6">
        <f>+I159-I158</f>
        <v>366</v>
      </c>
      <c r="J160" s="6">
        <f>SUM(E160:I160)</f>
        <v>1787</v>
      </c>
      <c r="N160" s="23"/>
      <c r="O160" s="23"/>
      <c r="P160" s="23"/>
      <c r="Q160" s="23"/>
      <c r="S160" s="24"/>
      <c r="T160" s="25"/>
      <c r="U160" s="24"/>
      <c r="V160" s="23"/>
      <c r="W160" s="25"/>
      <c r="X160" s="24"/>
      <c r="Y160" s="69"/>
      <c r="Z160" s="23"/>
      <c r="AA160" s="23"/>
      <c r="AB160" s="24"/>
      <c r="AC160" s="23"/>
      <c r="AD160" s="22"/>
    </row>
    <row r="161" spans="1:30" x14ac:dyDescent="0.25">
      <c r="D161" s="6" t="s">
        <v>112</v>
      </c>
      <c r="J161" s="6">
        <v>8683</v>
      </c>
      <c r="L161" s="6" t="s">
        <v>255</v>
      </c>
      <c r="N161" s="23">
        <v>0.25</v>
      </c>
      <c r="O161" s="23">
        <v>39</v>
      </c>
      <c r="P161" s="23">
        <v>4.8000000000000001E-2</v>
      </c>
      <c r="Q161" s="23">
        <v>5.18</v>
      </c>
      <c r="S161" s="24">
        <f>+J160*100</f>
        <v>178700</v>
      </c>
      <c r="T161" s="25">
        <f>+O161*1.02843*S161/1000000</f>
        <v>7.1674371990000001</v>
      </c>
      <c r="U161" s="135">
        <f>+T161/J162</f>
        <v>4.6192295289646437E-3</v>
      </c>
      <c r="V161" s="23" t="s">
        <v>113</v>
      </c>
      <c r="W161" s="25" t="s">
        <v>113</v>
      </c>
      <c r="X161" s="126">
        <f>(+N161)*(2*0.95*10000)/J161</f>
        <v>0.54704595185995619</v>
      </c>
      <c r="Y161" s="127">
        <v>0.44</v>
      </c>
      <c r="Z161" s="23">
        <f>+J160*100</f>
        <v>178700</v>
      </c>
      <c r="AA161" s="23">
        <f>+P161*Z161/1000000</f>
        <v>8.5776000000000012E-3</v>
      </c>
      <c r="AB161" s="71">
        <f>+AA161/J162*1000000</f>
        <v>5.5280433030058749</v>
      </c>
      <c r="AC161" s="23" t="s">
        <v>113</v>
      </c>
      <c r="AD161" s="128">
        <v>1.03</v>
      </c>
    </row>
    <row r="162" spans="1:30" x14ac:dyDescent="0.25">
      <c r="D162" s="6" t="s">
        <v>114</v>
      </c>
      <c r="J162" s="6">
        <f>+(J160*100*J161)/1000000</f>
        <v>1551.6521</v>
      </c>
      <c r="N162" s="23"/>
      <c r="O162" s="23"/>
      <c r="P162" s="23"/>
      <c r="Q162" s="23"/>
      <c r="S162" s="24"/>
      <c r="T162" s="25"/>
      <c r="U162" s="24"/>
      <c r="V162" s="23"/>
      <c r="W162" s="25"/>
      <c r="X162" s="24"/>
      <c r="Y162" s="69"/>
      <c r="Z162" s="23"/>
      <c r="AA162" s="23"/>
      <c r="AB162" s="24"/>
      <c r="AC162" s="23"/>
      <c r="AD162" s="22"/>
    </row>
    <row r="163" spans="1:30" x14ac:dyDescent="0.25">
      <c r="D163" s="6" t="s">
        <v>115</v>
      </c>
      <c r="J163" s="6">
        <f>+(J160*100*J161)/1000000/60*60</f>
        <v>1551.6521</v>
      </c>
      <c r="K163" s="41" t="s">
        <v>113</v>
      </c>
      <c r="N163" s="23"/>
      <c r="O163" s="23"/>
      <c r="P163" s="23"/>
      <c r="Q163" s="23"/>
      <c r="S163" s="24"/>
      <c r="T163" s="25"/>
      <c r="U163" s="24"/>
      <c r="V163" s="23"/>
      <c r="W163" s="25"/>
      <c r="X163" s="24"/>
      <c r="Y163" s="69"/>
      <c r="Z163" s="23"/>
      <c r="AA163" s="23"/>
      <c r="AB163" s="24"/>
      <c r="AC163" s="23"/>
      <c r="AD163" s="22"/>
    </row>
    <row r="164" spans="1:30" x14ac:dyDescent="0.25">
      <c r="S164" s="67"/>
      <c r="T164" s="22"/>
      <c r="U164" s="67"/>
      <c r="W164" s="22"/>
      <c r="X164" s="67"/>
      <c r="Y164" s="22"/>
      <c r="AB164" s="67"/>
      <c r="AD164" s="22"/>
    </row>
    <row r="165" spans="1:30" x14ac:dyDescent="0.25">
      <c r="A165" s="6" t="s">
        <v>127</v>
      </c>
      <c r="D165" s="6" t="s">
        <v>80</v>
      </c>
      <c r="N165" s="23"/>
      <c r="O165" s="23"/>
      <c r="P165" s="23"/>
      <c r="Q165" s="23"/>
      <c r="S165" s="24"/>
      <c r="T165" s="25"/>
      <c r="U165" s="24"/>
      <c r="V165" s="23"/>
      <c r="W165" s="25"/>
      <c r="X165" s="24"/>
      <c r="Y165" s="69"/>
      <c r="Z165" s="23"/>
      <c r="AA165" s="23"/>
      <c r="AB165" s="24"/>
      <c r="AC165" s="23"/>
      <c r="AD165" s="22"/>
    </row>
    <row r="166" spans="1:30" x14ac:dyDescent="0.25">
      <c r="A166" s="41">
        <v>1300</v>
      </c>
      <c r="B166" s="41">
        <v>1400</v>
      </c>
      <c r="D166" s="6">
        <v>170</v>
      </c>
      <c r="E166" s="6">
        <v>334443</v>
      </c>
      <c r="F166" s="6">
        <v>544008</v>
      </c>
      <c r="G166" s="6">
        <v>956894</v>
      </c>
      <c r="H166" s="6">
        <v>490025</v>
      </c>
      <c r="I166" s="6">
        <v>502056</v>
      </c>
      <c r="N166" s="23"/>
      <c r="O166" s="23"/>
      <c r="P166" s="23"/>
      <c r="Q166" s="23"/>
      <c r="S166" s="24"/>
      <c r="T166" s="25"/>
      <c r="U166" s="24"/>
      <c r="V166" s="23"/>
      <c r="W166" s="25"/>
      <c r="X166" s="24"/>
      <c r="Y166" s="69"/>
      <c r="Z166" s="23"/>
      <c r="AA166" s="23"/>
      <c r="AB166" s="24"/>
      <c r="AC166" s="23"/>
      <c r="AD166" s="22"/>
    </row>
    <row r="167" spans="1:30" x14ac:dyDescent="0.25">
      <c r="A167" s="6" t="s">
        <v>196</v>
      </c>
      <c r="E167" s="6">
        <v>334820</v>
      </c>
      <c r="F167" s="6">
        <v>544384</v>
      </c>
      <c r="G167" s="6">
        <v>957269</v>
      </c>
      <c r="H167" s="6">
        <v>490402</v>
      </c>
      <c r="I167" s="6">
        <v>502432</v>
      </c>
      <c r="N167" s="23"/>
      <c r="O167" s="23"/>
      <c r="P167" s="23"/>
      <c r="Q167" s="23"/>
      <c r="S167" s="24"/>
      <c r="T167" s="25"/>
      <c r="U167" s="24"/>
      <c r="V167" s="23"/>
      <c r="W167" s="25"/>
      <c r="X167" s="24"/>
      <c r="Y167" s="69"/>
      <c r="Z167" s="23"/>
      <c r="AA167" s="23"/>
      <c r="AB167" s="24"/>
      <c r="AC167" s="23"/>
      <c r="AD167" s="22"/>
    </row>
    <row r="168" spans="1:30" x14ac:dyDescent="0.25">
      <c r="D168" s="6" t="s">
        <v>111</v>
      </c>
      <c r="E168" s="6">
        <f>+E167-E166</f>
        <v>377</v>
      </c>
      <c r="F168" s="6">
        <f>+F167-F166</f>
        <v>376</v>
      </c>
      <c r="G168" s="6">
        <f>+G167-G166</f>
        <v>375</v>
      </c>
      <c r="H168" s="6">
        <f>+H167-H166</f>
        <v>377</v>
      </c>
      <c r="I168" s="6">
        <f>+I167-I166</f>
        <v>376</v>
      </c>
      <c r="J168" s="6">
        <f>SUM(E168:I168)</f>
        <v>1881</v>
      </c>
      <c r="N168" s="23"/>
      <c r="O168" s="23"/>
      <c r="P168" s="23"/>
      <c r="Q168" s="23"/>
      <c r="S168" s="24"/>
      <c r="T168" s="25"/>
      <c r="U168" s="24"/>
      <c r="V168" s="23"/>
      <c r="W168" s="25"/>
      <c r="X168" s="24"/>
      <c r="Y168" s="69"/>
      <c r="Z168" s="23"/>
      <c r="AA168" s="23"/>
      <c r="AB168" s="24"/>
      <c r="AC168" s="23"/>
      <c r="AD168" s="22"/>
    </row>
    <row r="169" spans="1:30" x14ac:dyDescent="0.25">
      <c r="D169" s="6" t="s">
        <v>112</v>
      </c>
      <c r="J169" s="6">
        <v>8683</v>
      </c>
      <c r="L169" s="6" t="s">
        <v>255</v>
      </c>
      <c r="N169" s="23">
        <v>0.25</v>
      </c>
      <c r="O169" s="23">
        <v>39</v>
      </c>
      <c r="P169" s="23">
        <v>4.8000000000000001E-2</v>
      </c>
      <c r="Q169" s="23">
        <v>5.18</v>
      </c>
      <c r="S169" s="24">
        <f>+J168*100</f>
        <v>188100</v>
      </c>
      <c r="T169" s="25">
        <f>+O169*1.02843*S169/1000000</f>
        <v>7.5444596370000001</v>
      </c>
      <c r="U169" s="135">
        <f>+T169/J170</f>
        <v>4.6192295289646437E-3</v>
      </c>
      <c r="V169" s="23" t="s">
        <v>113</v>
      </c>
      <c r="W169" s="25" t="s">
        <v>113</v>
      </c>
      <c r="X169" s="126">
        <f>(+N169)*(2*0.95*10000)/J169</f>
        <v>0.54704595185995619</v>
      </c>
      <c r="Y169" s="127">
        <v>0.44</v>
      </c>
      <c r="Z169" s="23">
        <f>+J168*100</f>
        <v>188100</v>
      </c>
      <c r="AA169" s="23">
        <f>+P169*Z169/1000000</f>
        <v>9.0288000000000018E-3</v>
      </c>
      <c r="AB169" s="71">
        <f>+AA169/J170*1000000</f>
        <v>5.5280433030058749</v>
      </c>
      <c r="AC169" s="23" t="s">
        <v>113</v>
      </c>
      <c r="AD169" s="142">
        <v>1.37</v>
      </c>
    </row>
    <row r="170" spans="1:30" x14ac:dyDescent="0.25">
      <c r="D170" s="6" t="s">
        <v>114</v>
      </c>
      <c r="J170" s="6">
        <f>+(J168*100*J169)/1000000</f>
        <v>1633.2723000000001</v>
      </c>
      <c r="N170" s="23"/>
      <c r="O170" s="23"/>
      <c r="P170" s="23"/>
      <c r="Q170" s="23"/>
      <c r="S170" s="24"/>
      <c r="T170" s="25"/>
      <c r="U170" s="24"/>
      <c r="V170" s="23"/>
      <c r="W170" s="25"/>
      <c r="X170" s="24"/>
      <c r="Y170" s="69"/>
      <c r="Z170" s="23"/>
      <c r="AA170" s="23"/>
      <c r="AB170" s="24"/>
      <c r="AC170" s="23"/>
      <c r="AD170" s="22"/>
    </row>
    <row r="171" spans="1:30" x14ac:dyDescent="0.25">
      <c r="D171" s="6" t="s">
        <v>115</v>
      </c>
      <c r="J171" s="6">
        <f>+(J168*100*J169)/1000000/60*60</f>
        <v>1633.2723000000001</v>
      </c>
      <c r="K171" s="41" t="s">
        <v>113</v>
      </c>
      <c r="N171" s="23"/>
      <c r="O171" s="23"/>
      <c r="P171" s="23"/>
      <c r="Q171" s="23"/>
      <c r="S171" s="24"/>
      <c r="T171" s="25"/>
      <c r="U171" s="24"/>
      <c r="V171" s="23"/>
      <c r="W171" s="25"/>
      <c r="X171" s="24"/>
      <c r="Y171" s="69"/>
      <c r="Z171" s="23"/>
      <c r="AA171" s="23"/>
      <c r="AB171" s="24"/>
      <c r="AC171" s="23"/>
      <c r="AD171" s="22"/>
    </row>
    <row r="172" spans="1:30" x14ac:dyDescent="0.25">
      <c r="S172" s="67"/>
      <c r="T172" s="22"/>
      <c r="U172" s="67"/>
      <c r="W172" s="22"/>
      <c r="X172" s="67"/>
      <c r="Y172" s="22"/>
      <c r="AB172" s="67"/>
      <c r="AD172" s="22"/>
    </row>
    <row r="173" spans="1:30" x14ac:dyDescent="0.25">
      <c r="A173" s="6" t="s">
        <v>128</v>
      </c>
      <c r="D173" s="6" t="s">
        <v>80</v>
      </c>
      <c r="N173" s="23"/>
      <c r="O173" s="23"/>
      <c r="P173" s="23"/>
      <c r="Q173" s="23"/>
      <c r="S173" s="24"/>
      <c r="T173" s="25"/>
      <c r="U173" s="24"/>
      <c r="V173" s="23"/>
      <c r="W173" s="25"/>
      <c r="X173" s="24"/>
      <c r="Y173" s="69"/>
      <c r="Z173" s="23"/>
      <c r="AA173" s="23"/>
      <c r="AB173" s="24"/>
      <c r="AC173" s="23"/>
      <c r="AD173" s="22"/>
    </row>
    <row r="174" spans="1:30" x14ac:dyDescent="0.25">
      <c r="A174" s="41">
        <v>1435</v>
      </c>
      <c r="B174" s="41">
        <v>1530</v>
      </c>
      <c r="D174" s="6">
        <v>85</v>
      </c>
      <c r="E174" s="6">
        <v>334868</v>
      </c>
      <c r="F174" s="6">
        <v>544558</v>
      </c>
      <c r="G174" s="6">
        <v>957457</v>
      </c>
      <c r="H174" s="6">
        <v>490591</v>
      </c>
      <c r="I174" s="6">
        <v>502620</v>
      </c>
      <c r="N174" s="23"/>
      <c r="O174" s="23"/>
      <c r="P174" s="23"/>
      <c r="Q174" s="23"/>
      <c r="S174" s="24"/>
      <c r="T174" s="25"/>
      <c r="U174" s="24"/>
      <c r="V174" s="23"/>
      <c r="W174" s="25"/>
      <c r="X174" s="24"/>
      <c r="Y174" s="69"/>
      <c r="Z174" s="23"/>
      <c r="AA174" s="23"/>
      <c r="AB174" s="24"/>
      <c r="AC174" s="23"/>
      <c r="AD174" s="22"/>
    </row>
    <row r="175" spans="1:30" x14ac:dyDescent="0.25">
      <c r="A175" s="6" t="s">
        <v>199</v>
      </c>
      <c r="E175" s="6">
        <v>334868</v>
      </c>
      <c r="F175" s="6">
        <v>544681</v>
      </c>
      <c r="G175" s="6">
        <v>957715</v>
      </c>
      <c r="H175" s="6">
        <v>490851</v>
      </c>
      <c r="I175" s="6">
        <v>502880</v>
      </c>
      <c r="N175" s="23"/>
      <c r="O175" s="23"/>
      <c r="P175" s="23"/>
      <c r="Q175" s="23"/>
      <c r="S175" s="24"/>
      <c r="T175" s="25"/>
      <c r="U175" s="24"/>
      <c r="V175" s="23"/>
      <c r="W175" s="25"/>
      <c r="X175" s="24"/>
      <c r="Y175" s="69"/>
      <c r="Z175" s="23"/>
      <c r="AA175" s="23"/>
      <c r="AB175" s="24"/>
      <c r="AC175" s="23"/>
      <c r="AD175" s="22"/>
    </row>
    <row r="176" spans="1:30" x14ac:dyDescent="0.25">
      <c r="D176" s="6" t="s">
        <v>111</v>
      </c>
      <c r="E176" s="6">
        <f>+E175-E174</f>
        <v>0</v>
      </c>
      <c r="F176" s="6">
        <f>+F175-F174</f>
        <v>123</v>
      </c>
      <c r="G176" s="6">
        <f>+G175-G174</f>
        <v>258</v>
      </c>
      <c r="H176" s="6">
        <f>+H175-H174</f>
        <v>260</v>
      </c>
      <c r="I176" s="6">
        <f>+I175-I174</f>
        <v>260</v>
      </c>
      <c r="J176" s="6">
        <f>SUM(E176:I176)</f>
        <v>901</v>
      </c>
      <c r="N176" s="23"/>
      <c r="O176" s="23"/>
      <c r="P176" s="23"/>
      <c r="Q176" s="23"/>
      <c r="S176" s="24"/>
      <c r="T176" s="25"/>
      <c r="U176" s="24"/>
      <c r="V176" s="23"/>
      <c r="W176" s="25"/>
      <c r="X176" s="24"/>
      <c r="Y176" s="69"/>
      <c r="Z176" s="23"/>
      <c r="AA176" s="23"/>
      <c r="AB176" s="24"/>
      <c r="AC176" s="23"/>
      <c r="AD176" s="22"/>
    </row>
    <row r="177" spans="1:30" x14ac:dyDescent="0.25">
      <c r="D177" s="6" t="s">
        <v>112</v>
      </c>
      <c r="J177" s="6">
        <v>8683</v>
      </c>
      <c r="L177" s="6" t="s">
        <v>255</v>
      </c>
      <c r="N177" s="23">
        <v>0.25</v>
      </c>
      <c r="O177" s="23">
        <v>39</v>
      </c>
      <c r="P177" s="23">
        <v>4.8000000000000001E-2</v>
      </c>
      <c r="Q177" s="23">
        <v>5.18</v>
      </c>
      <c r="S177" s="24">
        <f>+J176*100</f>
        <v>90100</v>
      </c>
      <c r="T177" s="25">
        <f>+O177*1.02843*S177/1000000</f>
        <v>3.6138001770000003</v>
      </c>
      <c r="U177" s="135">
        <f>+T177/J178</f>
        <v>4.6192295289646437E-3</v>
      </c>
      <c r="V177" s="23" t="s">
        <v>113</v>
      </c>
      <c r="W177" s="25" t="s">
        <v>113</v>
      </c>
      <c r="X177" s="126">
        <f>(+N177)*(2*0.95*10000)/J177</f>
        <v>0.54704595185995619</v>
      </c>
      <c r="Y177" s="127">
        <v>0.4</v>
      </c>
      <c r="Z177" s="23">
        <f>+J176*100</f>
        <v>90100</v>
      </c>
      <c r="AA177" s="23">
        <f>+P177*Z177/1000000</f>
        <v>4.3248000000000002E-3</v>
      </c>
      <c r="AB177" s="71">
        <f>+AA177/J178*1000000</f>
        <v>5.528043303005874</v>
      </c>
      <c r="AC177" s="23" t="s">
        <v>113</v>
      </c>
      <c r="AD177" s="128">
        <v>0.38</v>
      </c>
    </row>
    <row r="178" spans="1:30" x14ac:dyDescent="0.25">
      <c r="D178" s="6" t="s">
        <v>114</v>
      </c>
      <c r="J178" s="6">
        <f>+(J176*100*J177)/1000000</f>
        <v>782.3383</v>
      </c>
      <c r="N178" s="23"/>
      <c r="O178" s="23"/>
      <c r="P178" s="23"/>
      <c r="Q178" s="23"/>
      <c r="S178" s="24"/>
      <c r="T178" s="25"/>
      <c r="U178" s="24"/>
      <c r="V178" s="23"/>
      <c r="W178" s="25"/>
      <c r="X178" s="24"/>
      <c r="Y178" s="69"/>
      <c r="Z178" s="23"/>
      <c r="AA178" s="23"/>
      <c r="AB178" s="24"/>
      <c r="AC178" s="23"/>
      <c r="AD178" s="22"/>
    </row>
    <row r="179" spans="1:30" x14ac:dyDescent="0.25">
      <c r="D179" s="6" t="s">
        <v>115</v>
      </c>
      <c r="J179" s="6">
        <f>+(J176*100*J177)/1000000/60*60</f>
        <v>782.3383</v>
      </c>
      <c r="K179" s="41" t="s">
        <v>113</v>
      </c>
      <c r="N179" s="23"/>
      <c r="O179" s="23"/>
      <c r="P179" s="23"/>
      <c r="Q179" s="23"/>
      <c r="S179" s="24"/>
      <c r="T179" s="25"/>
      <c r="U179" s="24"/>
      <c r="V179" s="23"/>
      <c r="W179" s="25"/>
      <c r="X179" s="24"/>
      <c r="Y179" s="69"/>
      <c r="Z179" s="23"/>
      <c r="AA179" s="23"/>
      <c r="AB179" s="24"/>
      <c r="AC179" s="23"/>
      <c r="AD179" s="22"/>
    </row>
    <row r="180" spans="1:30" x14ac:dyDescent="0.25">
      <c r="S180" s="67"/>
      <c r="T180" s="22"/>
      <c r="U180" s="67"/>
      <c r="W180" s="22"/>
      <c r="X180" s="67"/>
      <c r="Y180" s="22"/>
      <c r="AB180" s="67"/>
      <c r="AD180" s="22"/>
    </row>
    <row r="181" spans="1:30" ht="21" x14ac:dyDescent="0.35">
      <c r="A181" s="15" t="s">
        <v>310</v>
      </c>
      <c r="S181" s="67"/>
      <c r="T181" s="22"/>
      <c r="U181" s="67"/>
      <c r="W181" s="22"/>
      <c r="X181" s="67"/>
      <c r="Y181" s="22"/>
      <c r="AB181" s="67"/>
      <c r="AD181" s="22"/>
    </row>
    <row r="182" spans="1:30" x14ac:dyDescent="0.25">
      <c r="A182" s="6" t="s">
        <v>129</v>
      </c>
      <c r="D182" s="6" t="s">
        <v>80</v>
      </c>
      <c r="N182" s="23"/>
      <c r="O182" s="23"/>
      <c r="P182" s="23"/>
      <c r="Q182" s="23"/>
      <c r="S182" s="24"/>
      <c r="T182" s="25"/>
      <c r="U182" s="24"/>
      <c r="V182" s="23"/>
      <c r="W182" s="25"/>
      <c r="X182" s="24"/>
      <c r="Y182" s="69"/>
      <c r="Z182" s="23"/>
      <c r="AA182" s="23"/>
      <c r="AB182" s="24"/>
      <c r="AC182" s="23"/>
      <c r="AD182" s="22"/>
    </row>
    <row r="183" spans="1:30" x14ac:dyDescent="0.25">
      <c r="A183" s="41">
        <v>845</v>
      </c>
      <c r="B183" s="41">
        <v>945</v>
      </c>
      <c r="D183" s="6">
        <v>150</v>
      </c>
      <c r="E183" s="6">
        <v>336357</v>
      </c>
      <c r="F183" s="6">
        <v>548055</v>
      </c>
      <c r="G183" s="6">
        <v>962952</v>
      </c>
      <c r="H183" s="6">
        <v>496122</v>
      </c>
      <c r="I183" s="6">
        <v>508130</v>
      </c>
      <c r="N183" s="23"/>
      <c r="O183" s="23"/>
      <c r="P183" s="23"/>
      <c r="Q183" s="23"/>
      <c r="S183" s="24"/>
      <c r="T183" s="25"/>
      <c r="U183" s="24"/>
      <c r="V183" s="23"/>
      <c r="W183" s="25"/>
      <c r="X183" s="24"/>
      <c r="Y183" s="69"/>
      <c r="Z183" s="23"/>
      <c r="AA183" s="23"/>
      <c r="AB183" s="24"/>
      <c r="AC183" s="23"/>
      <c r="AD183" s="22"/>
    </row>
    <row r="184" spans="1:30" x14ac:dyDescent="0.25">
      <c r="A184" s="6" t="s">
        <v>195</v>
      </c>
      <c r="E184" s="6">
        <v>336705</v>
      </c>
      <c r="F184" s="6">
        <v>548404</v>
      </c>
      <c r="G184" s="6">
        <v>963300</v>
      </c>
      <c r="H184" s="6">
        <v>496471</v>
      </c>
      <c r="I184" s="6">
        <v>508478</v>
      </c>
      <c r="N184" s="23"/>
      <c r="O184" s="23"/>
      <c r="P184" s="23"/>
      <c r="Q184" s="23"/>
      <c r="S184" s="24"/>
      <c r="T184" s="25"/>
      <c r="U184" s="24"/>
      <c r="V184" s="23"/>
      <c r="W184" s="25"/>
      <c r="X184" s="24"/>
      <c r="Y184" s="69"/>
      <c r="Z184" s="23"/>
      <c r="AA184" s="23"/>
      <c r="AB184" s="24"/>
      <c r="AC184" s="23"/>
      <c r="AD184" s="22"/>
    </row>
    <row r="185" spans="1:30" x14ac:dyDescent="0.25">
      <c r="D185" s="6" t="s">
        <v>111</v>
      </c>
      <c r="E185" s="6">
        <f>+E184-E183</f>
        <v>348</v>
      </c>
      <c r="F185" s="6">
        <f>+F184-F183</f>
        <v>349</v>
      </c>
      <c r="G185" s="6">
        <f>+G184-G183</f>
        <v>348</v>
      </c>
      <c r="H185" s="6">
        <f>+H184-H183</f>
        <v>349</v>
      </c>
      <c r="I185" s="6">
        <f>+I184-I183</f>
        <v>348</v>
      </c>
      <c r="J185" s="6">
        <f>SUM(E185:I185)</f>
        <v>1742</v>
      </c>
      <c r="N185" s="23"/>
      <c r="O185" s="23"/>
      <c r="P185" s="23"/>
      <c r="Q185" s="23"/>
      <c r="S185" s="24"/>
      <c r="T185" s="25"/>
      <c r="U185" s="24"/>
      <c r="V185" s="23"/>
      <c r="W185" s="25"/>
      <c r="X185" s="24"/>
      <c r="Y185" s="69"/>
      <c r="Z185" s="23"/>
      <c r="AA185" s="23"/>
      <c r="AB185" s="24"/>
      <c r="AC185" s="23"/>
      <c r="AD185" s="22"/>
    </row>
    <row r="186" spans="1:30" x14ac:dyDescent="0.25">
      <c r="D186" s="6" t="s">
        <v>112</v>
      </c>
      <c r="J186" s="6">
        <v>8945</v>
      </c>
      <c r="L186" s="6" t="s">
        <v>256</v>
      </c>
      <c r="N186" s="23">
        <v>0.28000000000000003</v>
      </c>
      <c r="O186" s="39">
        <v>25</v>
      </c>
      <c r="P186" s="23">
        <v>3.7999999999999999E-2</v>
      </c>
      <c r="Q186" s="23">
        <v>4.78</v>
      </c>
      <c r="S186" s="24">
        <f>+J185*100</f>
        <v>174200</v>
      </c>
      <c r="T186" s="25">
        <f>+O186*1.02843*S186/1000000</f>
        <v>4.4788126499999992</v>
      </c>
      <c r="U186" s="135">
        <f>+T186/J187</f>
        <v>2.8743152599217435E-3</v>
      </c>
      <c r="V186" s="23" t="s">
        <v>113</v>
      </c>
      <c r="W186" s="25" t="s">
        <v>113</v>
      </c>
      <c r="X186" s="126">
        <f>(+N186)*(2*0.95*10000)/J186</f>
        <v>0.59474566797093353</v>
      </c>
      <c r="Y186" s="127">
        <v>0.47</v>
      </c>
      <c r="Z186" s="23">
        <f>+J185*100</f>
        <v>174200</v>
      </c>
      <c r="AA186" s="23">
        <f>+P186*Z186/1000000</f>
        <v>6.6195999999999998E-3</v>
      </c>
      <c r="AB186" s="71">
        <f>+AA186/J187*1000000</f>
        <v>4.2481833426495248</v>
      </c>
      <c r="AC186" s="23" t="s">
        <v>113</v>
      </c>
      <c r="AD186" s="128">
        <v>1.1000000000000001</v>
      </c>
    </row>
    <row r="187" spans="1:30" x14ac:dyDescent="0.25">
      <c r="D187" s="6" t="s">
        <v>114</v>
      </c>
      <c r="J187" s="6">
        <f>+(J185*100*J186)/1000000</f>
        <v>1558.2190000000001</v>
      </c>
      <c r="N187" s="23"/>
      <c r="O187" s="23"/>
      <c r="P187" s="23"/>
      <c r="Q187" s="23"/>
      <c r="S187" s="24"/>
      <c r="T187" s="25"/>
      <c r="U187" s="24"/>
      <c r="V187" s="23"/>
      <c r="W187" s="25"/>
      <c r="X187" s="24"/>
      <c r="Y187" s="69"/>
      <c r="Z187" s="23"/>
      <c r="AA187" s="23"/>
      <c r="AB187" s="24"/>
      <c r="AC187" s="23"/>
      <c r="AD187" s="22"/>
    </row>
    <row r="188" spans="1:30" x14ac:dyDescent="0.25">
      <c r="D188" s="6" t="s">
        <v>115</v>
      </c>
      <c r="J188" s="6">
        <f>+(J185*100*J186)/1000000/60*60</f>
        <v>1558.2190000000001</v>
      </c>
      <c r="K188" s="41" t="s">
        <v>113</v>
      </c>
      <c r="N188" s="23"/>
      <c r="O188" s="23"/>
      <c r="P188" s="23"/>
      <c r="Q188" s="23"/>
      <c r="S188" s="24"/>
      <c r="T188" s="25"/>
      <c r="U188" s="24"/>
      <c r="V188" s="23"/>
      <c r="W188" s="25"/>
      <c r="X188" s="24"/>
      <c r="Y188" s="69"/>
      <c r="Z188" s="23"/>
      <c r="AA188" s="23"/>
      <c r="AB188" s="24"/>
      <c r="AC188" s="23"/>
      <c r="AD188" s="22"/>
    </row>
    <row r="189" spans="1:30" x14ac:dyDescent="0.25">
      <c r="S189" s="67"/>
      <c r="T189" s="22"/>
      <c r="U189" s="67"/>
      <c r="W189" s="22"/>
      <c r="X189" s="67"/>
      <c r="Y189" s="22"/>
      <c r="AB189" s="67"/>
      <c r="AD189" s="22"/>
    </row>
    <row r="190" spans="1:30" x14ac:dyDescent="0.25">
      <c r="A190" s="6" t="s">
        <v>130</v>
      </c>
      <c r="D190" s="6" t="s">
        <v>80</v>
      </c>
      <c r="N190" s="23"/>
      <c r="O190" s="23"/>
      <c r="P190" s="23"/>
      <c r="Q190" s="23"/>
      <c r="S190" s="24"/>
      <c r="T190" s="25"/>
      <c r="U190" s="24"/>
      <c r="V190" s="23"/>
      <c r="W190" s="25"/>
      <c r="X190" s="24"/>
      <c r="Y190" s="69"/>
      <c r="Z190" s="23"/>
      <c r="AA190" s="23"/>
      <c r="AB190" s="24"/>
      <c r="AC190" s="23"/>
      <c r="AD190" s="22"/>
    </row>
    <row r="191" spans="1:30" x14ac:dyDescent="0.25">
      <c r="A191" s="41">
        <v>1050</v>
      </c>
      <c r="B191" s="41">
        <v>1120</v>
      </c>
      <c r="D191" s="6">
        <v>175</v>
      </c>
      <c r="E191" s="6">
        <v>337082</v>
      </c>
      <c r="F191" s="6">
        <v>548782</v>
      </c>
      <c r="G191" s="6">
        <v>963677</v>
      </c>
      <c r="H191" s="6">
        <v>496852</v>
      </c>
      <c r="I191" s="6">
        <v>508859</v>
      </c>
      <c r="N191" s="23"/>
      <c r="O191" s="23"/>
      <c r="P191" s="23"/>
      <c r="Q191" s="23"/>
      <c r="S191" s="24"/>
      <c r="T191" s="25"/>
      <c r="U191" s="24"/>
      <c r="V191" s="23"/>
      <c r="W191" s="25"/>
      <c r="X191" s="24"/>
      <c r="Y191" s="69"/>
      <c r="Z191" s="23"/>
      <c r="AA191" s="23"/>
      <c r="AB191" s="24"/>
      <c r="AC191" s="23"/>
      <c r="AD191" s="22"/>
    </row>
    <row r="192" spans="1:30" x14ac:dyDescent="0.25">
      <c r="A192" s="6" t="s">
        <v>198</v>
      </c>
      <c r="E192" s="6">
        <v>337291</v>
      </c>
      <c r="F192" s="6">
        <v>548990</v>
      </c>
      <c r="G192" s="6">
        <v>963885</v>
      </c>
      <c r="H192" s="6">
        <v>497061</v>
      </c>
      <c r="I192" s="6">
        <v>509067</v>
      </c>
      <c r="N192" s="23"/>
      <c r="O192" s="23"/>
      <c r="P192" s="23"/>
      <c r="Q192" s="23"/>
      <c r="S192" s="24"/>
      <c r="T192" s="25"/>
      <c r="U192" s="24"/>
      <c r="V192" s="23"/>
      <c r="W192" s="25"/>
      <c r="X192" s="24"/>
      <c r="Y192" s="69"/>
      <c r="Z192" s="23"/>
      <c r="AA192" s="23"/>
      <c r="AB192" s="24"/>
      <c r="AC192" s="23"/>
      <c r="AD192" s="22"/>
    </row>
    <row r="193" spans="1:30" x14ac:dyDescent="0.25">
      <c r="D193" s="6" t="s">
        <v>111</v>
      </c>
      <c r="E193" s="6">
        <f>+E192-E191</f>
        <v>209</v>
      </c>
      <c r="F193" s="6">
        <f>+F192-F191</f>
        <v>208</v>
      </c>
      <c r="G193" s="6">
        <f>+G192-G191</f>
        <v>208</v>
      </c>
      <c r="H193" s="6">
        <f>+H192-H191</f>
        <v>209</v>
      </c>
      <c r="I193" s="6">
        <f>+I192-I191</f>
        <v>208</v>
      </c>
      <c r="J193" s="6">
        <f>SUM(E193:I193)</f>
        <v>1042</v>
      </c>
      <c r="N193" s="23"/>
      <c r="O193" s="23"/>
      <c r="P193" s="23"/>
      <c r="Q193" s="23"/>
      <c r="S193" s="24"/>
      <c r="T193" s="25"/>
      <c r="U193" s="24"/>
      <c r="V193" s="23"/>
      <c r="W193" s="25"/>
      <c r="X193" s="24"/>
      <c r="Y193" s="69"/>
      <c r="Z193" s="23"/>
      <c r="AA193" s="23"/>
      <c r="AB193" s="24"/>
      <c r="AC193" s="23"/>
      <c r="AD193" s="22"/>
    </row>
    <row r="194" spans="1:30" x14ac:dyDescent="0.25">
      <c r="D194" s="6" t="s">
        <v>112</v>
      </c>
      <c r="J194" s="6">
        <v>8945</v>
      </c>
      <c r="L194" s="6" t="s">
        <v>256</v>
      </c>
      <c r="N194" s="23">
        <v>0.28000000000000003</v>
      </c>
      <c r="O194" s="39">
        <v>25</v>
      </c>
      <c r="P194" s="23">
        <v>3.7999999999999999E-2</v>
      </c>
      <c r="Q194" s="23">
        <v>4.78</v>
      </c>
      <c r="S194" s="24">
        <f>+J193*100</f>
        <v>104200</v>
      </c>
      <c r="T194" s="25">
        <f>+O194*1.02843*S194/1000000</f>
        <v>2.6790601499999998</v>
      </c>
      <c r="U194" s="135">
        <f>+T194/J195</f>
        <v>2.874315259921744E-3</v>
      </c>
      <c r="V194" s="23" t="s">
        <v>113</v>
      </c>
      <c r="W194" s="25" t="s">
        <v>113</v>
      </c>
      <c r="X194" s="126">
        <f>(+N194)*(2*0.95*10000)/J194</f>
        <v>0.59474566797093353</v>
      </c>
      <c r="Y194" s="127">
        <v>0.47</v>
      </c>
      <c r="Z194" s="23">
        <f>+J193*100</f>
        <v>104200</v>
      </c>
      <c r="AA194" s="23">
        <f>+P194*Z194/1000000</f>
        <v>3.9595999999999998E-3</v>
      </c>
      <c r="AB194" s="71">
        <f>+AA194/J195*1000000</f>
        <v>4.2481833426495248</v>
      </c>
      <c r="AC194" s="23" t="s">
        <v>113</v>
      </c>
      <c r="AD194" s="129">
        <v>1.1200000000000001</v>
      </c>
    </row>
    <row r="195" spans="1:30" x14ac:dyDescent="0.25">
      <c r="D195" s="6" t="s">
        <v>114</v>
      </c>
      <c r="J195" s="6">
        <f>+(J193*100*J194)/1000000</f>
        <v>932.06899999999996</v>
      </c>
      <c r="N195" s="23"/>
      <c r="O195" s="23"/>
      <c r="P195" s="23"/>
      <c r="Q195" s="23"/>
      <c r="S195" s="24"/>
      <c r="T195" s="25"/>
      <c r="U195" s="24"/>
      <c r="V195" s="23"/>
      <c r="W195" s="25"/>
      <c r="X195" s="24"/>
      <c r="Y195" s="69"/>
      <c r="Z195" s="23"/>
      <c r="AA195" s="23"/>
      <c r="AB195" s="24"/>
      <c r="AC195" s="23"/>
      <c r="AD195" s="22"/>
    </row>
    <row r="196" spans="1:30" x14ac:dyDescent="0.25">
      <c r="D196" s="6" t="s">
        <v>115</v>
      </c>
      <c r="J196" s="6">
        <f>+(J193*100*J194)/1000000/30*60</f>
        <v>1864.1379999999999</v>
      </c>
      <c r="K196" s="41" t="s">
        <v>113</v>
      </c>
      <c r="N196" s="23"/>
      <c r="O196" s="23"/>
      <c r="P196" s="23"/>
      <c r="Q196" s="23"/>
      <c r="S196" s="24"/>
      <c r="T196" s="25"/>
      <c r="U196" s="24"/>
      <c r="V196" s="23"/>
      <c r="W196" s="25"/>
      <c r="X196" s="24"/>
      <c r="Y196" s="69"/>
      <c r="Z196" s="23"/>
      <c r="AA196" s="23"/>
      <c r="AB196" s="24"/>
      <c r="AC196" s="23"/>
      <c r="AD196" s="22"/>
    </row>
    <row r="197" spans="1:30" x14ac:dyDescent="0.25">
      <c r="S197" s="67"/>
      <c r="T197" s="22"/>
      <c r="U197" s="67"/>
      <c r="W197" s="22"/>
      <c r="X197" s="67"/>
      <c r="Y197" s="22"/>
      <c r="AB197" s="67"/>
      <c r="AD197" s="22"/>
    </row>
    <row r="198" spans="1:30" ht="21" x14ac:dyDescent="0.35">
      <c r="A198" s="15" t="s">
        <v>311</v>
      </c>
      <c r="S198" s="67"/>
      <c r="T198" s="22"/>
      <c r="U198" s="67"/>
      <c r="W198" s="22"/>
      <c r="X198" s="67"/>
      <c r="Y198" s="22"/>
      <c r="AB198" s="67"/>
      <c r="AD198" s="22"/>
    </row>
    <row r="199" spans="1:30" x14ac:dyDescent="0.25">
      <c r="A199" s="6" t="s">
        <v>131</v>
      </c>
      <c r="D199" s="6" t="s">
        <v>80</v>
      </c>
      <c r="N199" s="23"/>
      <c r="O199" s="23"/>
      <c r="P199" s="23"/>
      <c r="Q199" s="23"/>
      <c r="S199" s="24"/>
      <c r="T199" s="25"/>
      <c r="U199" s="24"/>
      <c r="V199" s="23"/>
      <c r="W199" s="25"/>
      <c r="X199" s="24"/>
      <c r="Y199" s="69"/>
      <c r="Z199" s="23"/>
      <c r="AA199" s="23"/>
      <c r="AB199" s="24"/>
      <c r="AC199" s="23"/>
      <c r="AD199" s="22"/>
    </row>
    <row r="200" spans="1:30" x14ac:dyDescent="0.25">
      <c r="A200" s="41">
        <v>1300</v>
      </c>
      <c r="B200" s="41">
        <v>1403</v>
      </c>
      <c r="D200" s="6">
        <v>195</v>
      </c>
      <c r="E200" s="6">
        <v>339774</v>
      </c>
      <c r="F200" s="6">
        <v>551598</v>
      </c>
      <c r="G200" s="6">
        <v>972416</v>
      </c>
      <c r="H200" s="6">
        <v>505657</v>
      </c>
      <c r="I200" s="6">
        <v>517633</v>
      </c>
      <c r="N200" s="23"/>
      <c r="O200" s="23"/>
      <c r="P200" s="23"/>
      <c r="Q200" s="23"/>
      <c r="S200" s="24"/>
      <c r="T200" s="25"/>
      <c r="U200" s="24"/>
      <c r="V200" s="23"/>
      <c r="W200" s="25"/>
      <c r="X200" s="24"/>
      <c r="Y200" s="69"/>
      <c r="Z200" s="23"/>
      <c r="AA200" s="23"/>
      <c r="AB200" s="24"/>
      <c r="AC200" s="23"/>
      <c r="AD200" s="22"/>
    </row>
    <row r="201" spans="1:30" x14ac:dyDescent="0.25">
      <c r="A201" s="6" t="s">
        <v>200</v>
      </c>
      <c r="E201" s="6">
        <v>340249</v>
      </c>
      <c r="F201" s="6">
        <v>552072</v>
      </c>
      <c r="G201" s="6">
        <v>972888</v>
      </c>
      <c r="H201" s="6">
        <v>506133</v>
      </c>
      <c r="I201" s="6">
        <v>518105</v>
      </c>
      <c r="N201" s="23"/>
      <c r="O201" s="23"/>
      <c r="P201" s="23"/>
      <c r="Q201" s="23"/>
      <c r="S201" s="24"/>
      <c r="T201" s="25"/>
      <c r="U201" s="24"/>
      <c r="V201" s="23"/>
      <c r="W201" s="25"/>
      <c r="X201" s="24"/>
      <c r="Y201" s="69"/>
      <c r="Z201" s="23"/>
      <c r="AA201" s="23"/>
      <c r="AB201" s="24"/>
      <c r="AC201" s="23"/>
      <c r="AD201" s="22"/>
    </row>
    <row r="202" spans="1:30" x14ac:dyDescent="0.25">
      <c r="D202" s="6" t="s">
        <v>111</v>
      </c>
      <c r="E202" s="6">
        <f>+E201-E200</f>
        <v>475</v>
      </c>
      <c r="F202" s="6">
        <f>+F201-F200</f>
        <v>474</v>
      </c>
      <c r="G202" s="6">
        <f>+G201-G200</f>
        <v>472</v>
      </c>
      <c r="H202" s="6">
        <f>+H201-H200</f>
        <v>476</v>
      </c>
      <c r="I202" s="6">
        <f>+I201-I200</f>
        <v>472</v>
      </c>
      <c r="J202" s="6">
        <f>SUM(E202:I202)</f>
        <v>2369</v>
      </c>
      <c r="N202" s="23"/>
      <c r="O202" s="23"/>
      <c r="P202" s="23"/>
      <c r="Q202" s="23"/>
      <c r="S202" s="24"/>
      <c r="T202" s="25"/>
      <c r="U202" s="24"/>
      <c r="V202" s="23"/>
      <c r="W202" s="25"/>
      <c r="X202" s="24"/>
      <c r="Y202" s="69"/>
      <c r="Z202" s="23"/>
      <c r="AA202" s="23"/>
      <c r="AB202" s="24"/>
      <c r="AC202" s="23"/>
      <c r="AD202" s="22"/>
    </row>
    <row r="203" spans="1:30" x14ac:dyDescent="0.25">
      <c r="D203" s="6" t="s">
        <v>112</v>
      </c>
      <c r="J203" s="6">
        <v>8639</v>
      </c>
      <c r="L203" s="6" t="s">
        <v>249</v>
      </c>
      <c r="N203" s="23">
        <v>0.25</v>
      </c>
      <c r="O203" s="39">
        <v>25</v>
      </c>
      <c r="P203" s="23">
        <v>0.04</v>
      </c>
      <c r="Q203" s="23">
        <v>5.13</v>
      </c>
      <c r="S203" s="24">
        <f>+J202*100</f>
        <v>236900</v>
      </c>
      <c r="T203" s="25">
        <f>+O203*1.02843*S203/1000000</f>
        <v>6.0908766749999996</v>
      </c>
      <c r="U203" s="135">
        <f>+T203/J204</f>
        <v>2.9761257089940965E-3</v>
      </c>
      <c r="V203" s="139">
        <v>2.5999999999999999E-3</v>
      </c>
      <c r="W203" s="25" t="s">
        <v>113</v>
      </c>
      <c r="X203" s="126">
        <f>(+N203)*(2*0.95*10000)/J203</f>
        <v>0.54983215649959483</v>
      </c>
      <c r="Y203" s="127">
        <v>0.47</v>
      </c>
      <c r="Z203" s="23">
        <f>+J202*100</f>
        <v>236900</v>
      </c>
      <c r="AA203" s="23">
        <f>+P203*Z203/1000000</f>
        <v>9.476E-3</v>
      </c>
      <c r="AB203" s="71">
        <f>+AA203/J204*1000000</f>
        <v>4.6301655284176411</v>
      </c>
      <c r="AC203" s="23" t="s">
        <v>113</v>
      </c>
      <c r="AD203" s="142">
        <v>7.26</v>
      </c>
    </row>
    <row r="204" spans="1:30" x14ac:dyDescent="0.25">
      <c r="D204" s="6" t="s">
        <v>114</v>
      </c>
      <c r="J204" s="6">
        <f>+(J202*100*J203)/1000000</f>
        <v>2046.5790999999999</v>
      </c>
      <c r="N204" s="23"/>
      <c r="O204" s="23"/>
      <c r="P204" s="23"/>
      <c r="Q204" s="23"/>
      <c r="S204" s="24"/>
      <c r="T204" s="25"/>
      <c r="U204" s="24"/>
      <c r="V204" s="23"/>
      <c r="W204" s="25"/>
      <c r="X204" s="24"/>
      <c r="Y204" s="69"/>
      <c r="Z204" s="23"/>
      <c r="AA204" s="23"/>
      <c r="AB204" s="24"/>
      <c r="AC204" s="23"/>
      <c r="AD204" s="22"/>
    </row>
    <row r="205" spans="1:30" x14ac:dyDescent="0.25">
      <c r="D205" s="6" t="s">
        <v>115</v>
      </c>
      <c r="J205" s="6">
        <f>+(J202*100*J203)/1000000/63*60</f>
        <v>1949.1229523809525</v>
      </c>
      <c r="K205" s="41">
        <v>1853</v>
      </c>
      <c r="N205" s="23"/>
      <c r="O205" s="23"/>
      <c r="P205" s="23"/>
      <c r="Q205" s="23"/>
      <c r="S205" s="24"/>
      <c r="T205" s="25"/>
      <c r="U205" s="24"/>
      <c r="V205" s="23"/>
      <c r="W205" s="25"/>
      <c r="X205" s="24"/>
      <c r="Y205" s="69"/>
      <c r="Z205" s="23"/>
      <c r="AA205" s="23"/>
      <c r="AB205" s="24"/>
      <c r="AC205" s="23"/>
      <c r="AD205" s="22"/>
    </row>
    <row r="206" spans="1:30" x14ac:dyDescent="0.25">
      <c r="S206" s="67"/>
      <c r="T206" s="22"/>
      <c r="U206" s="67"/>
      <c r="W206" s="22"/>
      <c r="X206" s="67"/>
      <c r="Y206" s="22"/>
      <c r="AB206" s="67"/>
      <c r="AD206" s="22"/>
    </row>
    <row r="207" spans="1:30" x14ac:dyDescent="0.25">
      <c r="A207" s="6" t="s">
        <v>132</v>
      </c>
      <c r="D207" s="6" t="s">
        <v>80</v>
      </c>
      <c r="N207" s="23"/>
      <c r="O207" s="23"/>
      <c r="P207" s="23"/>
      <c r="Q207" s="23"/>
      <c r="S207" s="24"/>
      <c r="T207" s="25"/>
      <c r="U207" s="24"/>
      <c r="V207" s="23"/>
      <c r="W207" s="25"/>
      <c r="X207" s="24"/>
      <c r="Y207" s="69"/>
      <c r="Z207" s="23"/>
      <c r="AA207" s="23"/>
      <c r="AB207" s="24"/>
      <c r="AC207" s="23"/>
      <c r="AD207" s="22"/>
    </row>
    <row r="208" spans="1:30" x14ac:dyDescent="0.25">
      <c r="A208" s="41">
        <v>1530</v>
      </c>
      <c r="B208" s="41">
        <v>1642</v>
      </c>
      <c r="D208" s="6">
        <v>195</v>
      </c>
      <c r="E208" s="6">
        <v>340897</v>
      </c>
      <c r="F208" s="6">
        <v>552720</v>
      </c>
      <c r="G208" s="6">
        <v>973534</v>
      </c>
      <c r="H208" s="6">
        <v>506782</v>
      </c>
      <c r="I208" s="6">
        <v>518753</v>
      </c>
      <c r="N208" s="23"/>
      <c r="O208" s="23"/>
      <c r="P208" s="23"/>
      <c r="Q208" s="23"/>
      <c r="S208" s="24"/>
      <c r="T208" s="25"/>
      <c r="U208" s="24"/>
      <c r="V208" s="23"/>
      <c r="W208" s="25"/>
      <c r="X208" s="24"/>
      <c r="Y208" s="69"/>
      <c r="Z208" s="23"/>
      <c r="AA208" s="23"/>
      <c r="AB208" s="24"/>
      <c r="AC208" s="23"/>
      <c r="AD208" s="22"/>
    </row>
    <row r="209" spans="1:30" x14ac:dyDescent="0.25">
      <c r="A209" s="6" t="s">
        <v>201</v>
      </c>
      <c r="E209" s="6">
        <v>341395</v>
      </c>
      <c r="F209" s="6">
        <v>553218</v>
      </c>
      <c r="G209" s="6">
        <v>974029</v>
      </c>
      <c r="H209" s="6">
        <v>507282</v>
      </c>
      <c r="I209" s="6">
        <v>519250</v>
      </c>
      <c r="N209" s="23"/>
      <c r="O209" s="23"/>
      <c r="P209" s="23"/>
      <c r="Q209" s="23"/>
      <c r="S209" s="24"/>
      <c r="T209" s="25"/>
      <c r="U209" s="24"/>
      <c r="V209" s="23"/>
      <c r="W209" s="25"/>
      <c r="X209" s="24"/>
      <c r="Y209" s="69"/>
      <c r="Z209" s="23"/>
      <c r="AA209" s="23"/>
      <c r="AB209" s="24"/>
      <c r="AC209" s="23"/>
      <c r="AD209" s="22"/>
    </row>
    <row r="210" spans="1:30" x14ac:dyDescent="0.25">
      <c r="D210" s="6" t="s">
        <v>111</v>
      </c>
      <c r="E210" s="6">
        <f>+E209-E208</f>
        <v>498</v>
      </c>
      <c r="F210" s="6">
        <f>+F209-F208</f>
        <v>498</v>
      </c>
      <c r="G210" s="6">
        <f>+G209-G208</f>
        <v>495</v>
      </c>
      <c r="H210" s="6">
        <f>+H209-H208</f>
        <v>500</v>
      </c>
      <c r="I210" s="6">
        <f>+I209-I208</f>
        <v>497</v>
      </c>
      <c r="J210" s="6">
        <f>SUM(E210:I210)</f>
        <v>2488</v>
      </c>
      <c r="N210" s="23"/>
      <c r="O210" s="23"/>
      <c r="P210" s="23"/>
      <c r="Q210" s="23"/>
      <c r="S210" s="24"/>
      <c r="T210" s="25"/>
      <c r="U210" s="24"/>
      <c r="V210" s="23"/>
      <c r="W210" s="25"/>
      <c r="X210" s="24"/>
      <c r="Y210" s="69"/>
      <c r="Z210" s="23"/>
      <c r="AA210" s="23"/>
      <c r="AB210" s="24"/>
      <c r="AC210" s="23"/>
      <c r="AD210" s="22"/>
    </row>
    <row r="211" spans="1:30" x14ac:dyDescent="0.25">
      <c r="D211" s="6" t="s">
        <v>112</v>
      </c>
      <c r="J211" s="6">
        <v>8639</v>
      </c>
      <c r="L211" s="6" t="s">
        <v>249</v>
      </c>
      <c r="N211" s="23">
        <v>0.25</v>
      </c>
      <c r="O211" s="39">
        <v>25</v>
      </c>
      <c r="P211" s="23">
        <v>0.04</v>
      </c>
      <c r="Q211" s="23">
        <v>5.13</v>
      </c>
      <c r="S211" s="24">
        <f>+J210*100</f>
        <v>248800</v>
      </c>
      <c r="T211" s="25">
        <f>+O211*1.02843*S211/1000000</f>
        <v>6.3968346</v>
      </c>
      <c r="U211" s="135">
        <f>+T211/J212</f>
        <v>2.9761257089940961E-3</v>
      </c>
      <c r="V211" s="65">
        <v>2.0999999999999999E-3</v>
      </c>
      <c r="W211" s="130">
        <v>1.5E-3</v>
      </c>
      <c r="X211" s="126">
        <f>(+N211)*(2*0.95*10000)/J211</f>
        <v>0.54983215649959483</v>
      </c>
      <c r="Y211" s="127">
        <v>0.42</v>
      </c>
      <c r="Z211" s="23">
        <f>+J210*100</f>
        <v>248800</v>
      </c>
      <c r="AA211" s="23">
        <f>+P211*Z211/1000000</f>
        <v>9.9520000000000008E-3</v>
      </c>
      <c r="AB211" s="71">
        <f>+AA211/J212*1000000</f>
        <v>4.6301655284176411</v>
      </c>
      <c r="AC211" s="23" t="s">
        <v>113</v>
      </c>
      <c r="AD211" s="142">
        <v>6.38</v>
      </c>
    </row>
    <row r="212" spans="1:30" x14ac:dyDescent="0.25">
      <c r="D212" s="6" t="s">
        <v>114</v>
      </c>
      <c r="J212" s="6">
        <f>+(J210*100*J211)/1000000</f>
        <v>2149.3832000000002</v>
      </c>
      <c r="N212" s="23"/>
      <c r="O212" s="23"/>
      <c r="P212" s="23"/>
      <c r="Q212" s="23"/>
      <c r="S212" s="24"/>
      <c r="T212" s="25"/>
      <c r="U212" s="24"/>
      <c r="V212" s="23"/>
      <c r="W212" s="25"/>
      <c r="X212" s="24"/>
      <c r="Y212" s="69"/>
      <c r="Z212" s="23"/>
      <c r="AA212" s="23"/>
      <c r="AB212" s="24"/>
      <c r="AC212" s="23"/>
      <c r="AD212" s="22"/>
    </row>
    <row r="213" spans="1:30" x14ac:dyDescent="0.25">
      <c r="D213" s="6" t="s">
        <v>115</v>
      </c>
      <c r="J213" s="6">
        <f>+(J210*100*J211)/1000000/72*60</f>
        <v>1791.1526666666668</v>
      </c>
      <c r="K213" s="41">
        <v>2038</v>
      </c>
      <c r="L213" s="6" t="s">
        <v>290</v>
      </c>
      <c r="N213" s="23"/>
      <c r="O213" s="23"/>
      <c r="P213" s="23"/>
      <c r="Q213" s="23"/>
      <c r="S213" s="24"/>
      <c r="T213" s="25"/>
      <c r="U213" s="24"/>
      <c r="V213" s="23"/>
      <c r="W213" s="25"/>
      <c r="X213" s="24"/>
      <c r="Y213" s="69"/>
      <c r="Z213" s="23"/>
      <c r="AA213" s="23"/>
      <c r="AB213" s="24"/>
      <c r="AC213" s="23"/>
      <c r="AD213" s="22"/>
    </row>
    <row r="214" spans="1:30" x14ac:dyDescent="0.25">
      <c r="S214" s="67"/>
      <c r="T214" s="22"/>
      <c r="U214" s="67"/>
      <c r="W214" s="22"/>
      <c r="X214" s="67"/>
      <c r="Y214" s="22"/>
      <c r="AB214" s="67"/>
      <c r="AD214" s="22"/>
    </row>
    <row r="215" spans="1:30" x14ac:dyDescent="0.25">
      <c r="A215" s="6" t="s">
        <v>133</v>
      </c>
      <c r="D215" s="6" t="s">
        <v>80</v>
      </c>
      <c r="N215" s="23"/>
      <c r="O215" s="23"/>
      <c r="P215" s="23"/>
      <c r="Q215" s="23"/>
      <c r="S215" s="24"/>
      <c r="T215" s="25"/>
      <c r="U215" s="24"/>
      <c r="V215" s="23"/>
      <c r="W215" s="25"/>
      <c r="X215" s="24"/>
      <c r="Y215" s="69"/>
      <c r="Z215" s="23"/>
      <c r="AA215" s="23"/>
      <c r="AB215" s="24"/>
      <c r="AC215" s="23"/>
      <c r="AD215" s="22"/>
    </row>
    <row r="216" spans="1:30" x14ac:dyDescent="0.25">
      <c r="A216" s="41">
        <v>1740</v>
      </c>
      <c r="B216" s="41">
        <v>1900</v>
      </c>
      <c r="D216" s="6">
        <v>150</v>
      </c>
      <c r="E216" s="6">
        <v>341791</v>
      </c>
      <c r="F216" s="6">
        <v>553624</v>
      </c>
      <c r="G216" s="6">
        <v>974435</v>
      </c>
      <c r="H216" s="6">
        <v>507690</v>
      </c>
      <c r="I216" s="6">
        <v>519658</v>
      </c>
      <c r="N216" s="23"/>
      <c r="O216" s="23"/>
      <c r="P216" s="23"/>
      <c r="Q216" s="23"/>
      <c r="S216" s="24"/>
      <c r="T216" s="25"/>
      <c r="U216" s="24"/>
      <c r="V216" s="23"/>
      <c r="W216" s="25"/>
      <c r="X216" s="24"/>
      <c r="Y216" s="69"/>
      <c r="Z216" s="23"/>
      <c r="AA216" s="23"/>
      <c r="AB216" s="24"/>
      <c r="AC216" s="23"/>
      <c r="AD216" s="22"/>
    </row>
    <row r="217" spans="1:30" x14ac:dyDescent="0.25">
      <c r="A217" s="6" t="s">
        <v>202</v>
      </c>
      <c r="E217" s="6">
        <v>342247</v>
      </c>
      <c r="F217" s="6">
        <v>554062</v>
      </c>
      <c r="G217" s="6">
        <v>974872</v>
      </c>
      <c r="H217" s="6">
        <v>508130</v>
      </c>
      <c r="I217" s="6">
        <v>520096</v>
      </c>
      <c r="N217" s="23"/>
      <c r="O217" s="23"/>
      <c r="P217" s="23"/>
      <c r="Q217" s="23"/>
      <c r="S217" s="24"/>
      <c r="T217" s="25"/>
      <c r="U217" s="24"/>
      <c r="V217" s="23"/>
      <c r="W217" s="25"/>
      <c r="X217" s="24"/>
      <c r="Y217" s="69"/>
      <c r="Z217" s="23"/>
      <c r="AA217" s="23"/>
      <c r="AB217" s="24"/>
      <c r="AC217" s="23"/>
      <c r="AD217" s="22"/>
    </row>
    <row r="218" spans="1:30" x14ac:dyDescent="0.25">
      <c r="D218" s="6" t="s">
        <v>111</v>
      </c>
      <c r="E218" s="6">
        <f>+E217-E216</f>
        <v>456</v>
      </c>
      <c r="F218" s="6">
        <f>+F217-F216</f>
        <v>438</v>
      </c>
      <c r="G218" s="6">
        <f>+G217-G216</f>
        <v>437</v>
      </c>
      <c r="H218" s="6">
        <f>+H217-H216</f>
        <v>440</v>
      </c>
      <c r="I218" s="6">
        <f>+I217-I216</f>
        <v>438</v>
      </c>
      <c r="J218" s="6">
        <f>SUM(E218:I218)</f>
        <v>2209</v>
      </c>
      <c r="N218" s="23"/>
      <c r="O218" s="23"/>
      <c r="P218" s="23"/>
      <c r="Q218" s="23"/>
      <c r="S218" s="24"/>
      <c r="T218" s="25"/>
      <c r="U218" s="24"/>
      <c r="V218" s="23"/>
      <c r="W218" s="25"/>
      <c r="X218" s="24"/>
      <c r="Y218" s="69"/>
      <c r="Z218" s="23"/>
      <c r="AA218" s="23"/>
      <c r="AB218" s="24"/>
      <c r="AC218" s="23"/>
      <c r="AD218" s="22"/>
    </row>
    <row r="219" spans="1:30" x14ac:dyDescent="0.25">
      <c r="D219" s="6" t="s">
        <v>112</v>
      </c>
      <c r="J219" s="6">
        <v>8639</v>
      </c>
      <c r="L219" s="6" t="s">
        <v>249</v>
      </c>
      <c r="N219" s="23">
        <v>0.25</v>
      </c>
      <c r="O219" s="39">
        <v>25</v>
      </c>
      <c r="P219" s="23">
        <v>0.04</v>
      </c>
      <c r="Q219" s="23">
        <v>5.13</v>
      </c>
      <c r="S219" s="24">
        <f>+J218*100</f>
        <v>220900</v>
      </c>
      <c r="T219" s="25">
        <f>+O219*1.02843*S219/1000000</f>
        <v>5.6795046749999996</v>
      </c>
      <c r="U219" s="135">
        <f>+T219/J220</f>
        <v>2.9761257089940961E-3</v>
      </c>
      <c r="V219" s="131">
        <v>1.8E-3</v>
      </c>
      <c r="W219" s="25" t="s">
        <v>113</v>
      </c>
      <c r="X219" s="126">
        <f>(+N219)*(2*0.95*10000)/J219</f>
        <v>0.54983215649959483</v>
      </c>
      <c r="Y219" s="127">
        <v>0.4</v>
      </c>
      <c r="Z219" s="23">
        <f>+J218*100</f>
        <v>220900</v>
      </c>
      <c r="AA219" s="23">
        <f>+P219*Z219/1000000</f>
        <v>8.8360000000000001E-3</v>
      </c>
      <c r="AB219" s="71">
        <f>+AA219/J220*1000000</f>
        <v>4.6301655284176411</v>
      </c>
      <c r="AC219" s="23" t="s">
        <v>113</v>
      </c>
      <c r="AD219" s="142">
        <v>5.23</v>
      </c>
    </row>
    <row r="220" spans="1:30" x14ac:dyDescent="0.25">
      <c r="D220" s="6" t="s">
        <v>114</v>
      </c>
      <c r="J220" s="6">
        <f>+(J218*100*J219)/1000000</f>
        <v>1908.3551</v>
      </c>
      <c r="N220" s="23"/>
      <c r="O220" s="23"/>
      <c r="P220" s="23"/>
      <c r="Q220" s="23"/>
      <c r="S220" s="24"/>
      <c r="T220" s="25"/>
      <c r="U220" s="24"/>
      <c r="V220" s="23"/>
      <c r="W220" s="25"/>
      <c r="X220" s="24"/>
      <c r="Y220" s="69"/>
      <c r="Z220" s="23"/>
      <c r="AA220" s="23"/>
      <c r="AB220" s="24"/>
      <c r="AC220" s="23"/>
      <c r="AD220" s="22"/>
    </row>
    <row r="221" spans="1:30" x14ac:dyDescent="0.25">
      <c r="D221" s="6" t="s">
        <v>115</v>
      </c>
      <c r="J221" s="6">
        <f>+(J218*100*J219)/1000000/80*60</f>
        <v>1431.2663250000001</v>
      </c>
      <c r="K221" s="41" t="s">
        <v>113</v>
      </c>
      <c r="N221" s="23"/>
      <c r="O221" s="23"/>
      <c r="P221" s="23"/>
      <c r="Q221" s="23"/>
      <c r="S221" s="24"/>
      <c r="T221" s="25"/>
      <c r="U221" s="24"/>
      <c r="V221" s="23"/>
      <c r="W221" s="25"/>
      <c r="X221" s="24"/>
      <c r="Y221" s="69"/>
      <c r="Z221" s="23"/>
      <c r="AA221" s="23"/>
      <c r="AB221" s="24"/>
      <c r="AC221" s="23"/>
      <c r="AD221" s="22"/>
    </row>
    <row r="222" spans="1:30" x14ac:dyDescent="0.25">
      <c r="S222" s="67"/>
      <c r="T222" s="22"/>
      <c r="U222" s="67"/>
      <c r="W222" s="22"/>
      <c r="X222" s="67"/>
      <c r="Y222" s="22"/>
      <c r="AB222" s="67"/>
      <c r="AD222" s="22"/>
    </row>
    <row r="223" spans="1:30" x14ac:dyDescent="0.25">
      <c r="A223" s="6" t="s">
        <v>134</v>
      </c>
      <c r="D223" s="6" t="s">
        <v>80</v>
      </c>
      <c r="N223" s="23"/>
      <c r="O223" s="23"/>
      <c r="P223" s="23"/>
      <c r="Q223" s="23"/>
      <c r="S223" s="24"/>
      <c r="T223" s="25"/>
      <c r="U223" s="24"/>
      <c r="V223" s="23"/>
      <c r="W223" s="25"/>
      <c r="X223" s="24"/>
      <c r="Y223" s="69"/>
      <c r="Z223" s="23"/>
      <c r="AA223" s="23"/>
      <c r="AB223" s="24"/>
      <c r="AC223" s="23"/>
      <c r="AD223" s="22"/>
    </row>
    <row r="224" spans="1:30" x14ac:dyDescent="0.25">
      <c r="A224" s="41">
        <v>1925</v>
      </c>
      <c r="B224" s="41">
        <v>2025</v>
      </c>
      <c r="D224" s="6">
        <v>75</v>
      </c>
      <c r="E224" s="6">
        <v>342278</v>
      </c>
      <c r="F224" s="6">
        <v>554153</v>
      </c>
      <c r="G224" s="6">
        <v>974991</v>
      </c>
      <c r="H224" s="6">
        <v>508250</v>
      </c>
      <c r="I224" s="6">
        <v>520215</v>
      </c>
      <c r="N224" s="23"/>
      <c r="O224" s="23"/>
      <c r="P224" s="23"/>
      <c r="Q224" s="23"/>
      <c r="S224" s="24"/>
      <c r="T224" s="25"/>
      <c r="U224" s="24"/>
      <c r="V224" s="23"/>
      <c r="W224" s="25"/>
      <c r="X224" s="24"/>
      <c r="Y224" s="69"/>
      <c r="Z224" s="23"/>
      <c r="AA224" s="23"/>
      <c r="AB224" s="24"/>
      <c r="AC224" s="23"/>
      <c r="AD224" s="22"/>
    </row>
    <row r="225" spans="1:30" x14ac:dyDescent="0.25">
      <c r="A225" s="6" t="s">
        <v>202</v>
      </c>
      <c r="E225" s="6">
        <v>342278</v>
      </c>
      <c r="F225" s="6">
        <v>554153</v>
      </c>
      <c r="G225" s="6">
        <v>975286</v>
      </c>
      <c r="H225" s="6">
        <v>508547</v>
      </c>
      <c r="I225" s="6">
        <v>520511</v>
      </c>
      <c r="N225" s="23"/>
      <c r="O225" s="23"/>
      <c r="P225" s="23"/>
      <c r="Q225" s="23"/>
      <c r="S225" s="24"/>
      <c r="T225" s="25"/>
      <c r="U225" s="24"/>
      <c r="V225" s="23"/>
      <c r="W225" s="25"/>
      <c r="X225" s="24"/>
      <c r="Y225" s="69"/>
      <c r="Z225" s="23"/>
      <c r="AA225" s="23"/>
      <c r="AB225" s="24"/>
      <c r="AC225" s="23"/>
      <c r="AD225" s="22"/>
    </row>
    <row r="226" spans="1:30" x14ac:dyDescent="0.25">
      <c r="D226" s="6" t="s">
        <v>111</v>
      </c>
      <c r="E226" s="6">
        <f>+E225-E224</f>
        <v>0</v>
      </c>
      <c r="F226" s="6">
        <f>+F225-F224</f>
        <v>0</v>
      </c>
      <c r="G226" s="6">
        <f>+G225-G224</f>
        <v>295</v>
      </c>
      <c r="H226" s="6">
        <f>+H225-H224</f>
        <v>297</v>
      </c>
      <c r="I226" s="6">
        <f>+I225-I224</f>
        <v>296</v>
      </c>
      <c r="J226" s="6">
        <f>SUM(E226:I226)</f>
        <v>888</v>
      </c>
      <c r="N226" s="23"/>
      <c r="O226" s="23"/>
      <c r="P226" s="23"/>
      <c r="Q226" s="23"/>
      <c r="S226" s="24"/>
      <c r="T226" s="25"/>
      <c r="U226" s="24"/>
      <c r="V226" s="23"/>
      <c r="W226" s="25"/>
      <c r="X226" s="24"/>
      <c r="Y226" s="69"/>
      <c r="Z226" s="23"/>
      <c r="AA226" s="23"/>
      <c r="AB226" s="24"/>
      <c r="AC226" s="23"/>
      <c r="AD226" s="22"/>
    </row>
    <row r="227" spans="1:30" x14ac:dyDescent="0.25">
      <c r="D227" s="6" t="s">
        <v>112</v>
      </c>
      <c r="J227" s="6">
        <v>8639</v>
      </c>
      <c r="L227" s="6" t="s">
        <v>249</v>
      </c>
      <c r="N227" s="23">
        <v>0.25</v>
      </c>
      <c r="O227" s="39">
        <v>25</v>
      </c>
      <c r="P227" s="23">
        <v>0.04</v>
      </c>
      <c r="Q227" s="23">
        <v>5.13</v>
      </c>
      <c r="S227" s="24">
        <f>+J226*100</f>
        <v>88800</v>
      </c>
      <c r="T227" s="25">
        <f>+O227*1.02843*S227/1000000</f>
        <v>2.2831145999999998</v>
      </c>
      <c r="U227" s="135">
        <f>+T227/J228</f>
        <v>2.9761257089940961E-3</v>
      </c>
      <c r="V227" s="139">
        <v>3.7000000000000002E-3</v>
      </c>
      <c r="W227" s="25" t="s">
        <v>113</v>
      </c>
      <c r="X227" s="126">
        <f>(+N227)*(2*0.95*10000)/J227</f>
        <v>0.54983215649959483</v>
      </c>
      <c r="Y227" s="127">
        <v>0.35</v>
      </c>
      <c r="Z227" s="23">
        <f>+J226*100</f>
        <v>88800</v>
      </c>
      <c r="AA227" s="23">
        <f>+P227*Z227/1000000</f>
        <v>3.552E-3</v>
      </c>
      <c r="AB227" s="71">
        <f>+AA227/J228*1000000</f>
        <v>4.6301655284176411</v>
      </c>
      <c r="AC227" s="23" t="s">
        <v>113</v>
      </c>
      <c r="AD227" s="142">
        <v>5.88</v>
      </c>
    </row>
    <row r="228" spans="1:30" x14ac:dyDescent="0.25">
      <c r="D228" s="6" t="s">
        <v>114</v>
      </c>
      <c r="J228" s="6">
        <f>+(J226*100*J227)/1000000</f>
        <v>767.14319999999998</v>
      </c>
      <c r="N228" s="23"/>
      <c r="O228" s="23"/>
      <c r="P228" s="23"/>
      <c r="Q228" s="23"/>
      <c r="S228" s="24"/>
      <c r="T228" s="25"/>
      <c r="U228" s="24"/>
      <c r="V228" s="23"/>
      <c r="W228" s="25"/>
      <c r="X228" s="24"/>
      <c r="Y228" s="69"/>
      <c r="Z228" s="23"/>
      <c r="AA228" s="23"/>
      <c r="AB228" s="24"/>
      <c r="AC228" s="23"/>
      <c r="AD228" s="22"/>
    </row>
    <row r="229" spans="1:30" x14ac:dyDescent="0.25">
      <c r="D229" s="6" t="s">
        <v>115</v>
      </c>
      <c r="J229" s="6">
        <f>+(J226*100*J227)/1000000/60*60</f>
        <v>767.14319999999998</v>
      </c>
      <c r="K229" s="41" t="s">
        <v>113</v>
      </c>
      <c r="N229" s="23"/>
      <c r="O229" s="23"/>
      <c r="P229" s="23"/>
      <c r="Q229" s="23"/>
      <c r="S229" s="24"/>
      <c r="T229" s="25"/>
      <c r="U229" s="24"/>
      <c r="V229" s="23"/>
      <c r="W229" s="25"/>
      <c r="X229" s="24"/>
      <c r="Y229" s="69"/>
      <c r="Z229" s="23"/>
      <c r="AA229" s="23"/>
      <c r="AB229" s="24"/>
      <c r="AC229" s="23"/>
      <c r="AD229" s="22"/>
    </row>
    <row r="230" spans="1:30" x14ac:dyDescent="0.25">
      <c r="S230" s="67"/>
      <c r="T230" s="22"/>
      <c r="U230" s="67"/>
      <c r="W230" s="22"/>
      <c r="X230" s="67"/>
      <c r="Y230" s="22"/>
      <c r="AB230" s="67"/>
      <c r="AD230" s="22"/>
    </row>
    <row r="231" spans="1:30" ht="21" x14ac:dyDescent="0.35">
      <c r="A231" s="15" t="s">
        <v>312</v>
      </c>
      <c r="S231" s="67"/>
      <c r="T231" s="22"/>
      <c r="U231" s="67"/>
      <c r="W231" s="22"/>
      <c r="X231" s="67"/>
      <c r="Y231" s="22"/>
      <c r="AB231" s="67"/>
      <c r="AD231" s="22"/>
    </row>
    <row r="232" spans="1:30" x14ac:dyDescent="0.25">
      <c r="A232" s="6" t="s">
        <v>203</v>
      </c>
      <c r="D232" s="6" t="s">
        <v>80</v>
      </c>
      <c r="N232" s="23"/>
      <c r="O232" s="23"/>
      <c r="P232" s="23"/>
      <c r="Q232" s="23"/>
      <c r="S232" s="24"/>
      <c r="T232" s="25"/>
      <c r="U232" s="24"/>
      <c r="V232" s="23"/>
      <c r="W232" s="25"/>
      <c r="X232" s="24"/>
      <c r="Y232" s="69"/>
      <c r="Z232" s="23"/>
      <c r="AA232" s="23"/>
      <c r="AB232" s="24"/>
      <c r="AC232" s="23"/>
      <c r="AD232" s="22"/>
    </row>
    <row r="233" spans="1:30" x14ac:dyDescent="0.25">
      <c r="A233" s="41">
        <v>1250</v>
      </c>
      <c r="B233" s="41">
        <v>1403</v>
      </c>
      <c r="D233" s="6">
        <v>195</v>
      </c>
      <c r="E233" s="6">
        <v>346620</v>
      </c>
      <c r="F233" s="6">
        <v>559775</v>
      </c>
      <c r="G233" s="6">
        <v>982270</v>
      </c>
      <c r="H233" s="6">
        <v>515060</v>
      </c>
      <c r="I233" s="6">
        <v>526729</v>
      </c>
      <c r="N233" s="23"/>
      <c r="O233" s="23"/>
      <c r="P233" s="23"/>
      <c r="Q233" s="23"/>
      <c r="S233" s="24"/>
      <c r="T233" s="25"/>
      <c r="U233" s="24"/>
      <c r="V233" s="23"/>
      <c r="W233" s="25"/>
      <c r="X233" s="24"/>
      <c r="Y233" s="69"/>
      <c r="Z233" s="23"/>
      <c r="AA233" s="23"/>
      <c r="AB233" s="24"/>
      <c r="AC233" s="23"/>
      <c r="AD233" s="22"/>
    </row>
    <row r="234" spans="1:30" x14ac:dyDescent="0.25">
      <c r="A234" s="6" t="s">
        <v>204</v>
      </c>
      <c r="E234" s="6">
        <v>347171</v>
      </c>
      <c r="F234" s="6">
        <v>560304</v>
      </c>
      <c r="G234" s="6">
        <v>982801</v>
      </c>
      <c r="H234" s="6">
        <v>515590</v>
      </c>
      <c r="I234" s="6">
        <v>527259</v>
      </c>
      <c r="N234" s="23"/>
      <c r="O234" s="23"/>
      <c r="P234" s="23"/>
      <c r="Q234" s="23"/>
      <c r="S234" s="24"/>
      <c r="T234" s="25"/>
      <c r="U234" s="24"/>
      <c r="V234" s="23"/>
      <c r="W234" s="25"/>
      <c r="X234" s="24"/>
      <c r="Y234" s="69"/>
      <c r="Z234" s="23"/>
      <c r="AA234" s="23"/>
      <c r="AB234" s="24"/>
      <c r="AC234" s="23"/>
      <c r="AD234" s="22"/>
    </row>
    <row r="235" spans="1:30" x14ac:dyDescent="0.25">
      <c r="A235" s="6" t="s">
        <v>205</v>
      </c>
      <c r="D235" s="6" t="s">
        <v>111</v>
      </c>
      <c r="E235" s="6">
        <f>+E234-E233</f>
        <v>551</v>
      </c>
      <c r="F235" s="6">
        <f>+F234-F233</f>
        <v>529</v>
      </c>
      <c r="G235" s="6">
        <f>+G234-G233</f>
        <v>531</v>
      </c>
      <c r="H235" s="6">
        <f>+H234-H233</f>
        <v>530</v>
      </c>
      <c r="I235" s="6">
        <f>+I234-I233</f>
        <v>530</v>
      </c>
      <c r="J235" s="6">
        <f>SUM(E235:I235)</f>
        <v>2671</v>
      </c>
      <c r="N235" s="23"/>
      <c r="O235" s="23"/>
      <c r="P235" s="23"/>
      <c r="Q235" s="23"/>
      <c r="S235" s="24"/>
      <c r="T235" s="25"/>
      <c r="U235" s="24"/>
      <c r="V235" s="23"/>
      <c r="W235" s="25"/>
      <c r="X235" s="24"/>
      <c r="Y235" s="69"/>
      <c r="Z235" s="23"/>
      <c r="AA235" s="23"/>
      <c r="AB235" s="24"/>
      <c r="AC235" s="23"/>
      <c r="AD235" s="22"/>
    </row>
    <row r="236" spans="1:30" x14ac:dyDescent="0.25">
      <c r="D236" s="6" t="s">
        <v>112</v>
      </c>
      <c r="J236" s="6">
        <v>8626</v>
      </c>
      <c r="L236" s="6" t="s">
        <v>279</v>
      </c>
      <c r="N236" s="23">
        <v>0.28000000000000003</v>
      </c>
      <c r="O236" s="23">
        <v>65</v>
      </c>
      <c r="P236" s="23">
        <v>4.9000000000000002E-2</v>
      </c>
      <c r="Q236" s="23">
        <v>6.9</v>
      </c>
      <c r="S236" s="24">
        <f>+J235*100</f>
        <v>267100</v>
      </c>
      <c r="T236" s="25">
        <f>+O236*1.02843*S236/1000000</f>
        <v>17.855087444999999</v>
      </c>
      <c r="U236" s="135">
        <f>+T236/J237</f>
        <v>7.7495884535126354E-3</v>
      </c>
      <c r="V236" s="131">
        <v>1.8E-3</v>
      </c>
      <c r="W236" s="138">
        <v>2.3999999999999998E-3</v>
      </c>
      <c r="X236" s="126">
        <f>(+N236)*(2*0.95*10000)/J236</f>
        <v>0.616740088105727</v>
      </c>
      <c r="Y236" s="127">
        <v>0.42</v>
      </c>
      <c r="Z236" s="23">
        <f>+J235*100</f>
        <v>267100</v>
      </c>
      <c r="AA236" s="23">
        <f>+P236*Z236/1000000</f>
        <v>1.30879E-2</v>
      </c>
      <c r="AB236" s="71">
        <f>+AA236/J237*1000000</f>
        <v>5.6805008115001154</v>
      </c>
      <c r="AC236" s="23" t="s">
        <v>113</v>
      </c>
      <c r="AD236" s="142">
        <v>5.63</v>
      </c>
    </row>
    <row r="237" spans="1:30" x14ac:dyDescent="0.25">
      <c r="D237" s="6" t="s">
        <v>114</v>
      </c>
      <c r="J237" s="6">
        <f>+(J235*100*J236)/1000000</f>
        <v>2304.0046000000002</v>
      </c>
      <c r="N237" s="23"/>
      <c r="O237" s="23"/>
      <c r="P237" s="23"/>
      <c r="Q237" s="23"/>
      <c r="S237" s="24"/>
      <c r="T237" s="25"/>
      <c r="U237" s="24"/>
      <c r="V237" s="23"/>
      <c r="W237" s="25"/>
      <c r="X237" s="24"/>
      <c r="Y237" s="69"/>
      <c r="Z237" s="23"/>
      <c r="AA237" s="23"/>
      <c r="AB237" s="24"/>
      <c r="AC237" s="23"/>
      <c r="AD237" s="22"/>
    </row>
    <row r="238" spans="1:30" x14ac:dyDescent="0.25">
      <c r="D238" s="6" t="s">
        <v>115</v>
      </c>
      <c r="J238" s="6">
        <f>+(J235*100*J236)/1000000/73*60</f>
        <v>1893.7024109589042</v>
      </c>
      <c r="K238" s="41" t="s">
        <v>113</v>
      </c>
      <c r="N238" s="23"/>
      <c r="O238" s="23"/>
      <c r="P238" s="23"/>
      <c r="Q238" s="23"/>
      <c r="S238" s="24"/>
      <c r="T238" s="25"/>
      <c r="U238" s="24"/>
      <c r="V238" s="23"/>
      <c r="W238" s="25"/>
      <c r="X238" s="24"/>
      <c r="Y238" s="69"/>
      <c r="Z238" s="23"/>
      <c r="AA238" s="23"/>
      <c r="AB238" s="24"/>
      <c r="AC238" s="23"/>
      <c r="AD238" s="22"/>
    </row>
    <row r="239" spans="1:30" x14ac:dyDescent="0.25">
      <c r="S239" s="67"/>
      <c r="T239" s="22"/>
      <c r="U239" s="67"/>
      <c r="W239" s="22"/>
      <c r="X239" s="67"/>
      <c r="Y239" s="22"/>
      <c r="AB239" s="67"/>
      <c r="AD239" s="22"/>
    </row>
    <row r="240" spans="1:30" x14ac:dyDescent="0.25">
      <c r="A240" s="6" t="s">
        <v>206</v>
      </c>
      <c r="D240" s="6" t="s">
        <v>80</v>
      </c>
      <c r="N240" s="23"/>
      <c r="O240" s="23"/>
      <c r="P240" s="23"/>
      <c r="Q240" s="23"/>
      <c r="S240" s="24"/>
      <c r="T240" s="25"/>
      <c r="U240" s="24"/>
      <c r="V240" s="23"/>
      <c r="W240" s="25"/>
      <c r="X240" s="24"/>
      <c r="Y240" s="69"/>
      <c r="Z240" s="23"/>
      <c r="AA240" s="23"/>
      <c r="AB240" s="24"/>
      <c r="AC240" s="23"/>
      <c r="AD240" s="22"/>
    </row>
    <row r="241" spans="1:30" x14ac:dyDescent="0.25">
      <c r="A241" s="41">
        <v>1440</v>
      </c>
      <c r="B241" s="41">
        <v>1552</v>
      </c>
      <c r="D241" s="6">
        <v>195</v>
      </c>
      <c r="E241" s="6">
        <v>347442</v>
      </c>
      <c r="F241" s="6">
        <v>560565</v>
      </c>
      <c r="G241" s="6">
        <v>983062</v>
      </c>
      <c r="H241" s="6">
        <v>515852</v>
      </c>
      <c r="I241" s="6">
        <v>527520</v>
      </c>
      <c r="N241" s="23"/>
      <c r="O241" s="23"/>
      <c r="P241" s="23"/>
      <c r="Q241" s="23"/>
      <c r="S241" s="24"/>
      <c r="T241" s="25"/>
      <c r="U241" s="24"/>
      <c r="V241" s="23"/>
      <c r="W241" s="25"/>
      <c r="X241" s="24"/>
      <c r="Y241" s="69"/>
      <c r="Z241" s="23"/>
      <c r="AA241" s="23"/>
      <c r="AB241" s="24"/>
      <c r="AC241" s="23"/>
      <c r="AD241" s="22"/>
    </row>
    <row r="242" spans="1:30" x14ac:dyDescent="0.25">
      <c r="A242" s="6" t="s">
        <v>204</v>
      </c>
      <c r="E242" s="6">
        <v>348013</v>
      </c>
      <c r="F242" s="6">
        <v>561113</v>
      </c>
      <c r="G242" s="6">
        <v>983611</v>
      </c>
      <c r="H242" s="6">
        <v>516401</v>
      </c>
      <c r="I242" s="6">
        <v>528068</v>
      </c>
      <c r="N242" s="23"/>
      <c r="O242" s="23"/>
      <c r="P242" s="23"/>
      <c r="Q242" s="23"/>
      <c r="S242" s="24"/>
      <c r="T242" s="25"/>
      <c r="U242" s="24"/>
      <c r="V242" s="23"/>
      <c r="W242" s="25"/>
      <c r="X242" s="24"/>
      <c r="Y242" s="69"/>
      <c r="Z242" s="23"/>
      <c r="AA242" s="23"/>
      <c r="AB242" s="24"/>
      <c r="AC242" s="23"/>
      <c r="AD242" s="22"/>
    </row>
    <row r="243" spans="1:30" x14ac:dyDescent="0.25">
      <c r="A243" s="6" t="s">
        <v>205</v>
      </c>
      <c r="D243" s="6" t="s">
        <v>111</v>
      </c>
      <c r="E243" s="6">
        <f>+E242-E241</f>
        <v>571</v>
      </c>
      <c r="F243" s="6">
        <f>+F242-F241</f>
        <v>548</v>
      </c>
      <c r="G243" s="6">
        <f>+G242-G241</f>
        <v>549</v>
      </c>
      <c r="H243" s="6">
        <f>+H242-H241</f>
        <v>549</v>
      </c>
      <c r="I243" s="6">
        <f>+I242-I241</f>
        <v>548</v>
      </c>
      <c r="J243" s="6">
        <f>SUM(E243:I243)</f>
        <v>2765</v>
      </c>
      <c r="N243" s="23"/>
      <c r="O243" s="23"/>
      <c r="P243" s="23"/>
      <c r="Q243" s="23"/>
      <c r="S243" s="24"/>
      <c r="T243" s="25"/>
      <c r="U243" s="24"/>
      <c r="V243" s="23"/>
      <c r="W243" s="25"/>
      <c r="X243" s="24"/>
      <c r="Y243" s="69"/>
      <c r="Z243" s="23"/>
      <c r="AA243" s="23"/>
      <c r="AB243" s="24"/>
      <c r="AC243" s="23"/>
      <c r="AD243" s="22"/>
    </row>
    <row r="244" spans="1:30" x14ac:dyDescent="0.25">
      <c r="D244" s="6" t="s">
        <v>112</v>
      </c>
      <c r="J244" s="6">
        <v>8626</v>
      </c>
      <c r="L244" s="6" t="s">
        <v>279</v>
      </c>
      <c r="N244" s="23">
        <v>0.28000000000000003</v>
      </c>
      <c r="O244" s="23">
        <v>65</v>
      </c>
      <c r="P244" s="23">
        <v>4.9000000000000002E-2</v>
      </c>
      <c r="Q244" s="23">
        <v>6.9</v>
      </c>
      <c r="S244" s="24">
        <f>+J243*100</f>
        <v>276500</v>
      </c>
      <c r="T244" s="25">
        <f>+O244*1.02843*S244/1000000</f>
        <v>18.483458174999999</v>
      </c>
      <c r="U244" s="135">
        <f>+T244/J245</f>
        <v>7.7495884535126363E-3</v>
      </c>
      <c r="V244" s="131">
        <v>2E-3</v>
      </c>
      <c r="W244" s="138">
        <v>2.5000000000000001E-3</v>
      </c>
      <c r="X244" s="126">
        <f>(+N244)*(2*0.95*10000)/J244</f>
        <v>0.616740088105727</v>
      </c>
      <c r="Y244" s="127">
        <v>0.41</v>
      </c>
      <c r="Z244" s="23">
        <f>+J243*100</f>
        <v>276500</v>
      </c>
      <c r="AA244" s="23">
        <f>+P244*Z244/1000000</f>
        <v>1.35485E-2</v>
      </c>
      <c r="AB244" s="71">
        <f>+AA244/J245*1000000</f>
        <v>5.6805008115001163</v>
      </c>
      <c r="AC244" s="23" t="s">
        <v>113</v>
      </c>
      <c r="AD244" s="142">
        <v>1.79</v>
      </c>
    </row>
    <row r="245" spans="1:30" x14ac:dyDescent="0.25">
      <c r="D245" s="6" t="s">
        <v>114</v>
      </c>
      <c r="J245" s="6">
        <f>+(J243*100*J244)/1000000</f>
        <v>2385.0889999999999</v>
      </c>
      <c r="N245" s="23"/>
      <c r="O245" s="23"/>
      <c r="P245" s="23"/>
      <c r="Q245" s="23"/>
      <c r="S245" s="24"/>
      <c r="T245" s="25"/>
      <c r="U245" s="24"/>
      <c r="V245" s="23"/>
      <c r="W245" s="25"/>
      <c r="X245" s="24"/>
      <c r="Y245" s="69"/>
      <c r="Z245" s="23"/>
      <c r="AA245" s="23"/>
      <c r="AB245" s="24"/>
      <c r="AC245" s="23"/>
      <c r="AD245" s="22"/>
    </row>
    <row r="246" spans="1:30" x14ac:dyDescent="0.25">
      <c r="D246" s="6" t="s">
        <v>115</v>
      </c>
      <c r="J246" s="6">
        <f>+(J243*100*J244)/1000000/74*60</f>
        <v>1933.8559459459459</v>
      </c>
      <c r="K246" s="41" t="s">
        <v>113</v>
      </c>
      <c r="N246" s="23"/>
      <c r="O246" s="23"/>
      <c r="P246" s="23"/>
      <c r="Q246" s="23"/>
      <c r="S246" s="24"/>
      <c r="T246" s="25"/>
      <c r="U246" s="24"/>
      <c r="V246" s="23"/>
      <c r="W246" s="25"/>
      <c r="X246" s="24"/>
      <c r="Y246" s="69"/>
      <c r="Z246" s="23"/>
      <c r="AA246" s="23"/>
      <c r="AB246" s="24"/>
      <c r="AC246" s="23"/>
      <c r="AD246" s="22"/>
    </row>
    <row r="247" spans="1:30" x14ac:dyDescent="0.25">
      <c r="S247" s="67"/>
      <c r="T247" s="22"/>
      <c r="U247" s="67"/>
      <c r="W247" s="22"/>
      <c r="X247" s="67"/>
      <c r="Y247" s="22"/>
      <c r="AB247" s="67"/>
      <c r="AD247" s="22"/>
    </row>
    <row r="248" spans="1:30" x14ac:dyDescent="0.25">
      <c r="A248" s="6" t="s">
        <v>207</v>
      </c>
      <c r="D248" s="6" t="s">
        <v>80</v>
      </c>
      <c r="N248" s="23"/>
      <c r="O248" s="23"/>
      <c r="P248" s="23"/>
      <c r="Q248" s="23"/>
      <c r="S248" s="24"/>
      <c r="T248" s="25"/>
      <c r="U248" s="24"/>
      <c r="V248" s="23"/>
      <c r="W248" s="25"/>
      <c r="X248" s="24"/>
      <c r="Y248" s="69"/>
      <c r="Z248" s="23"/>
      <c r="AA248" s="23"/>
      <c r="AB248" s="24"/>
      <c r="AC248" s="23"/>
      <c r="AD248" s="22"/>
    </row>
    <row r="249" spans="1:30" x14ac:dyDescent="0.25">
      <c r="A249" s="41">
        <v>1705</v>
      </c>
      <c r="B249" s="41">
        <v>1730</v>
      </c>
      <c r="D249" s="6" t="s">
        <v>159</v>
      </c>
      <c r="E249" s="6">
        <v>348459</v>
      </c>
      <c r="F249" s="6">
        <v>561568</v>
      </c>
      <c r="G249" s="6">
        <v>984068</v>
      </c>
      <c r="H249" s="6">
        <v>516858</v>
      </c>
      <c r="I249" s="6">
        <v>528524</v>
      </c>
      <c r="N249" s="23"/>
      <c r="O249" s="23"/>
      <c r="P249" s="23"/>
      <c r="Q249" s="23"/>
      <c r="S249" s="24"/>
      <c r="T249" s="25"/>
      <c r="U249" s="24"/>
      <c r="V249" s="23"/>
      <c r="W249" s="25"/>
      <c r="X249" s="24"/>
      <c r="Y249" s="69"/>
      <c r="Z249" s="23"/>
      <c r="AA249" s="23"/>
      <c r="AB249" s="24"/>
      <c r="AC249" s="23"/>
      <c r="AD249" s="22"/>
    </row>
    <row r="250" spans="1:30" x14ac:dyDescent="0.25">
      <c r="A250" s="6" t="s">
        <v>208</v>
      </c>
      <c r="E250" s="6">
        <v>348524</v>
      </c>
      <c r="F250" s="6">
        <v>561648</v>
      </c>
      <c r="G250" s="6">
        <v>984178</v>
      </c>
      <c r="H250" s="6">
        <v>516967</v>
      </c>
      <c r="I250" s="6">
        <v>528632</v>
      </c>
      <c r="N250" s="23"/>
      <c r="O250" s="23"/>
      <c r="P250" s="23"/>
      <c r="Q250" s="23"/>
      <c r="S250" s="24"/>
      <c r="T250" s="25"/>
      <c r="U250" s="24"/>
      <c r="V250" s="23"/>
      <c r="W250" s="25"/>
      <c r="X250" s="24"/>
      <c r="Y250" s="69"/>
      <c r="Z250" s="23"/>
      <c r="AA250" s="23"/>
      <c r="AB250" s="24"/>
      <c r="AC250" s="23"/>
      <c r="AD250" s="22"/>
    </row>
    <row r="251" spans="1:30" x14ac:dyDescent="0.25">
      <c r="A251" s="6" t="s">
        <v>205</v>
      </c>
      <c r="D251" s="6" t="s">
        <v>111</v>
      </c>
      <c r="E251" s="6">
        <f>+E250-E249</f>
        <v>65</v>
      </c>
      <c r="F251" s="6">
        <f>+F250-F249</f>
        <v>80</v>
      </c>
      <c r="G251" s="6">
        <f>+G250-G249</f>
        <v>110</v>
      </c>
      <c r="H251" s="6">
        <f>+H250-H249</f>
        <v>109</v>
      </c>
      <c r="I251" s="6">
        <f>+I250-I249</f>
        <v>108</v>
      </c>
      <c r="J251" s="6">
        <f>SUM(E251:I251)</f>
        <v>472</v>
      </c>
      <c r="N251" s="23"/>
      <c r="O251" s="23"/>
      <c r="P251" s="23"/>
      <c r="Q251" s="23"/>
      <c r="S251" s="24"/>
      <c r="T251" s="25"/>
      <c r="U251" s="24"/>
      <c r="V251" s="23"/>
      <c r="W251" s="25"/>
      <c r="X251" s="24"/>
      <c r="Y251" s="69"/>
      <c r="Z251" s="23"/>
      <c r="AA251" s="23"/>
      <c r="AB251" s="24"/>
      <c r="AC251" s="23"/>
      <c r="AD251" s="22"/>
    </row>
    <row r="252" spans="1:30" x14ac:dyDescent="0.25">
      <c r="D252" s="6" t="s">
        <v>112</v>
      </c>
      <c r="J252" s="6">
        <v>8626</v>
      </c>
      <c r="L252" s="6" t="s">
        <v>279</v>
      </c>
      <c r="N252" s="23">
        <v>0.28000000000000003</v>
      </c>
      <c r="O252" s="23">
        <v>65</v>
      </c>
      <c r="P252" s="23">
        <v>4.9000000000000002E-2</v>
      </c>
      <c r="Q252" s="23">
        <v>6.9</v>
      </c>
      <c r="S252" s="24">
        <f>+J251*100</f>
        <v>47200</v>
      </c>
      <c r="T252" s="25">
        <f>+O252*1.02843*S252/1000000</f>
        <v>3.1552232399999998</v>
      </c>
      <c r="U252" s="135">
        <f>+T252/J253</f>
        <v>7.7495884535126354E-3</v>
      </c>
      <c r="V252" s="131">
        <v>2E-3</v>
      </c>
      <c r="W252" s="25" t="s">
        <v>113</v>
      </c>
      <c r="X252" s="126">
        <f>(+N252)*(2*0.95*10000)/J252</f>
        <v>0.616740088105727</v>
      </c>
      <c r="Y252" s="127">
        <v>0.38</v>
      </c>
      <c r="Z252" s="23">
        <f>+J251*100</f>
        <v>47200</v>
      </c>
      <c r="AA252" s="23">
        <f>+P252*Z252/1000000</f>
        <v>2.3128000000000003E-3</v>
      </c>
      <c r="AB252" s="71">
        <f>+AA252/J253*1000000</f>
        <v>5.6805008115001172</v>
      </c>
      <c r="AC252" s="23" t="s">
        <v>113</v>
      </c>
      <c r="AD252" s="128">
        <v>0.9</v>
      </c>
    </row>
    <row r="253" spans="1:30" x14ac:dyDescent="0.25">
      <c r="D253" s="6" t="s">
        <v>114</v>
      </c>
      <c r="J253" s="6">
        <f>+(J251*100*J252)/1000000</f>
        <v>407.1472</v>
      </c>
      <c r="N253" s="23"/>
      <c r="O253" s="23"/>
      <c r="P253" s="23"/>
      <c r="Q253" s="23"/>
      <c r="S253" s="24"/>
      <c r="T253" s="25"/>
      <c r="U253" s="24"/>
      <c r="V253" s="23"/>
      <c r="W253" s="25"/>
      <c r="X253" s="24"/>
      <c r="Y253" s="69"/>
      <c r="Z253" s="23"/>
      <c r="AA253" s="23"/>
      <c r="AB253" s="24"/>
      <c r="AC253" s="23"/>
      <c r="AD253" s="22"/>
    </row>
    <row r="254" spans="1:30" x14ac:dyDescent="0.25">
      <c r="D254" s="6" t="s">
        <v>115</v>
      </c>
      <c r="J254" s="6">
        <f>+(J251*100*J252)/1000000/25*60</f>
        <v>977.15328</v>
      </c>
      <c r="K254" s="41" t="s">
        <v>113</v>
      </c>
      <c r="N254" s="23"/>
      <c r="O254" s="23"/>
      <c r="P254" s="23"/>
      <c r="Q254" s="23"/>
      <c r="S254" s="24"/>
      <c r="T254" s="25"/>
      <c r="U254" s="24"/>
      <c r="V254" s="23"/>
      <c r="W254" s="25"/>
      <c r="X254" s="24"/>
      <c r="Y254" s="69"/>
      <c r="Z254" s="23"/>
      <c r="AA254" s="23"/>
      <c r="AB254" s="24"/>
      <c r="AC254" s="23"/>
      <c r="AD254" s="22"/>
    </row>
    <row r="255" spans="1:30" x14ac:dyDescent="0.25">
      <c r="S255" s="67"/>
      <c r="T255" s="22"/>
      <c r="U255" s="67"/>
      <c r="W255" s="22"/>
      <c r="X255" s="67"/>
      <c r="Y255" s="22"/>
      <c r="AB255" s="67"/>
      <c r="AD255" s="22"/>
    </row>
    <row r="256" spans="1:30" ht="21" x14ac:dyDescent="0.35">
      <c r="A256" s="15" t="s">
        <v>313</v>
      </c>
      <c r="S256" s="67"/>
      <c r="T256" s="22"/>
      <c r="U256" s="67"/>
      <c r="W256" s="22"/>
      <c r="X256" s="67"/>
      <c r="Y256" s="22"/>
      <c r="AB256" s="67"/>
      <c r="AD256" s="22"/>
    </row>
    <row r="257" spans="1:30" x14ac:dyDescent="0.25">
      <c r="A257" s="6" t="s">
        <v>209</v>
      </c>
      <c r="D257" s="6" t="s">
        <v>80</v>
      </c>
      <c r="N257" s="23"/>
      <c r="O257" s="23"/>
      <c r="P257" s="23"/>
      <c r="Q257" s="23"/>
      <c r="S257" s="24"/>
      <c r="T257" s="25"/>
      <c r="U257" s="24"/>
      <c r="V257" s="23"/>
      <c r="W257" s="25"/>
      <c r="X257" s="24"/>
      <c r="Y257" s="69"/>
      <c r="Z257" s="23"/>
      <c r="AA257" s="23"/>
      <c r="AB257" s="24"/>
      <c r="AC257" s="23"/>
      <c r="AD257" s="22"/>
    </row>
    <row r="258" spans="1:30" x14ac:dyDescent="0.25">
      <c r="A258" s="41">
        <v>730</v>
      </c>
      <c r="B258" s="41">
        <v>840</v>
      </c>
      <c r="D258" s="6">
        <v>195</v>
      </c>
      <c r="E258" s="6">
        <v>351323</v>
      </c>
      <c r="F258" s="6">
        <v>565507</v>
      </c>
      <c r="G258" s="6">
        <v>988480</v>
      </c>
      <c r="H258" s="6">
        <v>524266</v>
      </c>
      <c r="I258" s="6">
        <v>532917</v>
      </c>
      <c r="N258" s="23"/>
      <c r="O258" s="23"/>
      <c r="P258" s="23"/>
      <c r="Q258" s="23"/>
      <c r="S258" s="24"/>
      <c r="T258" s="25"/>
      <c r="U258" s="24"/>
      <c r="V258" s="23"/>
      <c r="W258" s="25"/>
      <c r="X258" s="24"/>
      <c r="Y258" s="69"/>
      <c r="Z258" s="23"/>
      <c r="AA258" s="23"/>
      <c r="AB258" s="24"/>
      <c r="AC258" s="23"/>
      <c r="AD258" s="22"/>
    </row>
    <row r="259" spans="1:30" x14ac:dyDescent="0.25">
      <c r="A259" s="6" t="s">
        <v>141</v>
      </c>
      <c r="E259" s="6">
        <v>351896</v>
      </c>
      <c r="F259" s="6">
        <v>566042</v>
      </c>
      <c r="G259" s="6">
        <v>989055</v>
      </c>
      <c r="H259" s="6">
        <v>524841</v>
      </c>
      <c r="I259" s="6">
        <v>533491</v>
      </c>
      <c r="N259" s="23"/>
      <c r="O259" s="23"/>
      <c r="P259" s="23"/>
      <c r="Q259" s="23"/>
      <c r="S259" s="24"/>
      <c r="T259" s="25"/>
      <c r="U259" s="24"/>
      <c r="V259" s="23"/>
      <c r="W259" s="25"/>
      <c r="X259" s="24"/>
      <c r="Y259" s="69"/>
      <c r="Z259" s="23"/>
      <c r="AA259" s="23"/>
      <c r="AB259" s="24"/>
      <c r="AC259" s="23"/>
      <c r="AD259" s="22"/>
    </row>
    <row r="260" spans="1:30" x14ac:dyDescent="0.25">
      <c r="A260" s="6" t="s">
        <v>205</v>
      </c>
      <c r="D260" s="6" t="s">
        <v>111</v>
      </c>
      <c r="E260" s="6">
        <f>+E259-E258</f>
        <v>573</v>
      </c>
      <c r="F260" s="6">
        <f>+F259-F258</f>
        <v>535</v>
      </c>
      <c r="G260" s="6">
        <f>+G259-G258</f>
        <v>575</v>
      </c>
      <c r="H260" s="6">
        <f>+H259-H258</f>
        <v>575</v>
      </c>
      <c r="I260" s="6">
        <f>+I259-I258</f>
        <v>574</v>
      </c>
      <c r="J260" s="6">
        <f>SUM(E260:I260)</f>
        <v>2832</v>
      </c>
      <c r="N260" s="23"/>
      <c r="O260" s="23"/>
      <c r="P260" s="23"/>
      <c r="Q260" s="23"/>
      <c r="S260" s="24"/>
      <c r="T260" s="25"/>
      <c r="U260" s="24"/>
      <c r="V260" s="23"/>
      <c r="W260" s="25"/>
      <c r="X260" s="24"/>
      <c r="Y260" s="69"/>
      <c r="Z260" s="23"/>
      <c r="AA260" s="23"/>
      <c r="AB260" s="24"/>
      <c r="AC260" s="23"/>
      <c r="AD260" s="22"/>
    </row>
    <row r="261" spans="1:30" x14ac:dyDescent="0.25">
      <c r="D261" s="6" t="s">
        <v>112</v>
      </c>
      <c r="J261" s="6">
        <v>8446</v>
      </c>
      <c r="L261" s="6" t="s">
        <v>250</v>
      </c>
      <c r="N261" s="23">
        <v>0.24</v>
      </c>
      <c r="O261" s="39">
        <v>25</v>
      </c>
      <c r="P261" s="23">
        <v>3.9E-2</v>
      </c>
      <c r="Q261" s="23">
        <v>5.84</v>
      </c>
      <c r="S261" s="24">
        <f>+J260*100</f>
        <v>283200</v>
      </c>
      <c r="T261" s="25">
        <f>+O261*1.02843*S261/1000000</f>
        <v>7.2812843999999997</v>
      </c>
      <c r="U261" s="135">
        <f>+T261/J262</f>
        <v>3.0441333175467676E-3</v>
      </c>
      <c r="V261" s="139">
        <v>4.4000000000000003E-3</v>
      </c>
      <c r="W261" s="138">
        <v>6.7000000000000002E-3</v>
      </c>
      <c r="X261" s="126">
        <f>(+N261)*(2*0.95*10000)/J261</f>
        <v>0.53990054463651438</v>
      </c>
      <c r="Y261" s="127">
        <v>0.48</v>
      </c>
      <c r="Z261" s="23">
        <f>+J260*100</f>
        <v>283200</v>
      </c>
      <c r="AA261" s="23">
        <f>+P261*Z261/1000000</f>
        <v>1.1044799999999999E-2</v>
      </c>
      <c r="AB261" s="71">
        <f>+AA261/J262*1000000</f>
        <v>4.6175704475491344</v>
      </c>
      <c r="AC261" s="23" t="s">
        <v>113</v>
      </c>
      <c r="AD261" s="142">
        <v>5.49</v>
      </c>
    </row>
    <row r="262" spans="1:30" x14ac:dyDescent="0.25">
      <c r="D262" s="6" t="s">
        <v>114</v>
      </c>
      <c r="J262" s="6">
        <f>+(J260*100*J261)/1000000</f>
        <v>2391.9072000000001</v>
      </c>
      <c r="N262" s="23"/>
      <c r="O262" s="23"/>
      <c r="P262" s="23"/>
      <c r="Q262" s="23"/>
      <c r="S262" s="24"/>
      <c r="T262" s="25"/>
      <c r="U262" s="24"/>
      <c r="V262" s="23"/>
      <c r="W262" s="25"/>
      <c r="X262" s="24"/>
      <c r="Y262" s="69"/>
      <c r="Z262" s="23"/>
      <c r="AA262" s="23"/>
      <c r="AB262" s="24"/>
      <c r="AC262" s="23"/>
      <c r="AD262" s="22"/>
    </row>
    <row r="263" spans="1:30" x14ac:dyDescent="0.25">
      <c r="D263" s="6" t="s">
        <v>115</v>
      </c>
      <c r="J263" s="6">
        <f>+(J260*100*J261)/1000000/70*60</f>
        <v>2050.2061714285715</v>
      </c>
      <c r="K263" s="41">
        <v>2097</v>
      </c>
      <c r="N263" s="23"/>
      <c r="O263" s="23"/>
      <c r="P263" s="23"/>
      <c r="Q263" s="23"/>
      <c r="S263" s="24"/>
      <c r="T263" s="25"/>
      <c r="U263" s="24"/>
      <c r="V263" s="23"/>
      <c r="W263" s="25"/>
      <c r="X263" s="24"/>
      <c r="Y263" s="69"/>
      <c r="Z263" s="23"/>
      <c r="AA263" s="23"/>
      <c r="AB263" s="24"/>
      <c r="AC263" s="23"/>
      <c r="AD263" s="22"/>
    </row>
    <row r="264" spans="1:30" x14ac:dyDescent="0.25">
      <c r="S264" s="67"/>
      <c r="T264" s="22"/>
      <c r="U264" s="67"/>
      <c r="W264" s="22"/>
      <c r="X264" s="67"/>
      <c r="Y264" s="22"/>
      <c r="AB264" s="67"/>
      <c r="AD264" s="22"/>
    </row>
    <row r="265" spans="1:30" x14ac:dyDescent="0.25">
      <c r="A265" s="6" t="s">
        <v>210</v>
      </c>
      <c r="D265" s="6" t="s">
        <v>80</v>
      </c>
      <c r="N265" s="23"/>
      <c r="O265" s="23"/>
      <c r="P265" s="23"/>
      <c r="Q265" s="23"/>
      <c r="S265" s="24"/>
      <c r="T265" s="25"/>
      <c r="U265" s="24"/>
      <c r="V265" s="23"/>
      <c r="W265" s="25"/>
      <c r="X265" s="24"/>
      <c r="Y265" s="69"/>
      <c r="Z265" s="23"/>
      <c r="AA265" s="23"/>
      <c r="AB265" s="24"/>
      <c r="AC265" s="23"/>
      <c r="AD265" s="22"/>
    </row>
    <row r="266" spans="1:30" x14ac:dyDescent="0.25">
      <c r="A266" s="41">
        <v>935</v>
      </c>
      <c r="B266" s="41">
        <v>1018</v>
      </c>
      <c r="D266" s="6">
        <v>170</v>
      </c>
      <c r="E266" s="6">
        <v>352225</v>
      </c>
      <c r="F266" s="6">
        <v>566346</v>
      </c>
      <c r="G266" s="6">
        <v>989385</v>
      </c>
      <c r="H266" s="6">
        <v>522170</v>
      </c>
      <c r="I266" s="6">
        <v>533820</v>
      </c>
      <c r="N266" s="23"/>
      <c r="O266" s="23"/>
      <c r="P266" s="23"/>
      <c r="Q266" s="23"/>
      <c r="S266" s="24"/>
      <c r="T266" s="25"/>
      <c r="U266" s="24"/>
      <c r="V266" s="23"/>
      <c r="W266" s="25"/>
      <c r="X266" s="24"/>
      <c r="Y266" s="69"/>
      <c r="Z266" s="23"/>
      <c r="AA266" s="23"/>
      <c r="AB266" s="24"/>
      <c r="AC266" s="23"/>
      <c r="AD266" s="22"/>
    </row>
    <row r="267" spans="1:30" x14ac:dyDescent="0.25">
      <c r="A267" s="6" t="s">
        <v>204</v>
      </c>
      <c r="E267" s="6">
        <v>352522</v>
      </c>
      <c r="F267" s="6">
        <v>566624</v>
      </c>
      <c r="G267" s="6">
        <v>989686</v>
      </c>
      <c r="H267" s="6">
        <v>522473</v>
      </c>
      <c r="I267" s="6">
        <v>534120</v>
      </c>
      <c r="N267" s="23"/>
      <c r="O267" s="23"/>
      <c r="P267" s="23"/>
      <c r="Q267" s="23"/>
      <c r="S267" s="24"/>
      <c r="T267" s="25"/>
      <c r="U267" s="24"/>
      <c r="V267" s="23"/>
      <c r="W267" s="25"/>
      <c r="X267" s="24"/>
      <c r="Y267" s="69"/>
      <c r="Z267" s="23"/>
      <c r="AA267" s="23"/>
      <c r="AB267" s="24"/>
      <c r="AC267" s="23"/>
      <c r="AD267" s="22"/>
    </row>
    <row r="268" spans="1:30" x14ac:dyDescent="0.25">
      <c r="A268" s="6" t="s">
        <v>205</v>
      </c>
      <c r="D268" s="6" t="s">
        <v>111</v>
      </c>
      <c r="E268" s="6">
        <f>+E267-E266</f>
        <v>297</v>
      </c>
      <c r="F268" s="6">
        <f>+F267-F266</f>
        <v>278</v>
      </c>
      <c r="G268" s="6">
        <f>+G267-G266</f>
        <v>301</v>
      </c>
      <c r="H268" s="6">
        <f>+H267-H266</f>
        <v>303</v>
      </c>
      <c r="I268" s="6">
        <f>+I267-I266</f>
        <v>300</v>
      </c>
      <c r="J268" s="6">
        <f>SUM(E268:I268)</f>
        <v>1479</v>
      </c>
      <c r="N268" s="23"/>
      <c r="O268" s="23"/>
      <c r="P268" s="23"/>
      <c r="Q268" s="23"/>
      <c r="S268" s="24"/>
      <c r="T268" s="25"/>
      <c r="U268" s="24"/>
      <c r="V268" s="23"/>
      <c r="W268" s="25"/>
      <c r="X268" s="24"/>
      <c r="Y268" s="69"/>
      <c r="Z268" s="23"/>
      <c r="AA268" s="23"/>
      <c r="AB268" s="24"/>
      <c r="AC268" s="23"/>
      <c r="AD268" s="22"/>
    </row>
    <row r="269" spans="1:30" x14ac:dyDescent="0.25">
      <c r="D269" s="6" t="s">
        <v>112</v>
      </c>
      <c r="J269" s="6">
        <v>8446</v>
      </c>
      <c r="L269" s="6" t="s">
        <v>250</v>
      </c>
      <c r="N269" s="23">
        <v>0.24</v>
      </c>
      <c r="O269" s="39">
        <v>25</v>
      </c>
      <c r="P269" s="23">
        <v>3.9E-2</v>
      </c>
      <c r="Q269" s="23">
        <v>5.84</v>
      </c>
      <c r="S269" s="24">
        <f>+J268*100</f>
        <v>147900</v>
      </c>
      <c r="T269" s="25">
        <f>+O269*1.02843*S269/1000000</f>
        <v>3.8026199249999997</v>
      </c>
      <c r="U269" s="135">
        <f>+T269/J270</f>
        <v>3.0441333175467676E-3</v>
      </c>
      <c r="V269" s="139">
        <v>2.3999999999999998E-3</v>
      </c>
      <c r="W269" s="130">
        <v>2E-3</v>
      </c>
      <c r="X269" s="126">
        <f>(+N269)*(2*0.95*10000)/J269</f>
        <v>0.53990054463651438</v>
      </c>
      <c r="Y269" s="127">
        <v>0.41</v>
      </c>
      <c r="Z269" s="23">
        <f>+J268*100</f>
        <v>147900</v>
      </c>
      <c r="AA269" s="23">
        <f>+P269*Z269/1000000</f>
        <v>5.7681E-3</v>
      </c>
      <c r="AB269" s="71">
        <f>+AA269/J270*1000000</f>
        <v>4.6175704475491361</v>
      </c>
      <c r="AC269" s="23" t="s">
        <v>113</v>
      </c>
      <c r="AD269" s="142">
        <v>5.0199999999999996</v>
      </c>
    </row>
    <row r="270" spans="1:30" x14ac:dyDescent="0.25">
      <c r="D270" s="6" t="s">
        <v>114</v>
      </c>
      <c r="J270" s="6">
        <f>+(J268*100*J269)/1000000</f>
        <v>1249.1633999999999</v>
      </c>
      <c r="N270" s="23"/>
      <c r="O270" s="23"/>
      <c r="P270" s="23"/>
      <c r="Q270" s="23"/>
      <c r="S270" s="24"/>
      <c r="T270" s="25"/>
      <c r="U270" s="24"/>
      <c r="V270" s="23"/>
      <c r="W270" s="25"/>
      <c r="X270" s="24"/>
      <c r="Y270" s="69"/>
      <c r="Z270" s="23"/>
      <c r="AA270" s="23"/>
      <c r="AB270" s="24"/>
      <c r="AC270" s="23"/>
      <c r="AD270" s="22"/>
    </row>
    <row r="271" spans="1:30" x14ac:dyDescent="0.25">
      <c r="D271" s="6" t="s">
        <v>115</v>
      </c>
      <c r="J271" s="6">
        <f>+(J268*100*J269)/1000000/43*60</f>
        <v>1743.0186976744185</v>
      </c>
      <c r="K271" s="41" t="s">
        <v>113</v>
      </c>
      <c r="N271" s="23"/>
      <c r="O271" s="23"/>
      <c r="P271" s="23"/>
      <c r="Q271" s="23"/>
      <c r="S271" s="24"/>
      <c r="T271" s="25"/>
      <c r="U271" s="24"/>
      <c r="V271" s="23"/>
      <c r="W271" s="25"/>
      <c r="X271" s="24"/>
      <c r="Y271" s="69"/>
      <c r="Z271" s="23"/>
      <c r="AA271" s="23"/>
      <c r="AB271" s="24"/>
      <c r="AC271" s="23"/>
      <c r="AD271" s="22"/>
    </row>
    <row r="272" spans="1:30" x14ac:dyDescent="0.25">
      <c r="S272" s="67"/>
      <c r="T272" s="22"/>
      <c r="U272" s="67"/>
      <c r="W272" s="22"/>
      <c r="X272" s="67"/>
      <c r="Y272" s="22"/>
      <c r="AB272" s="67"/>
      <c r="AD272" s="22"/>
    </row>
    <row r="273" spans="1:30" x14ac:dyDescent="0.25">
      <c r="A273" s="6" t="s">
        <v>211</v>
      </c>
      <c r="D273" s="6" t="s">
        <v>80</v>
      </c>
      <c r="N273" s="23"/>
      <c r="O273" s="23"/>
      <c r="P273" s="23"/>
      <c r="Q273" s="23"/>
      <c r="S273" s="24"/>
      <c r="T273" s="25"/>
      <c r="U273" s="24"/>
      <c r="V273" s="23"/>
      <c r="W273" s="25"/>
      <c r="X273" s="24"/>
      <c r="Y273" s="69"/>
      <c r="Z273" s="23"/>
      <c r="AA273" s="23"/>
      <c r="AB273" s="24"/>
      <c r="AC273" s="23"/>
      <c r="AD273" s="22"/>
    </row>
    <row r="274" spans="1:30" x14ac:dyDescent="0.25">
      <c r="A274" s="41">
        <v>1155</v>
      </c>
      <c r="B274" s="41">
        <v>1304</v>
      </c>
      <c r="D274" s="6">
        <v>160</v>
      </c>
      <c r="E274" s="6">
        <v>352527</v>
      </c>
      <c r="F274" s="6">
        <v>567371</v>
      </c>
      <c r="G274" s="6">
        <v>990438</v>
      </c>
      <c r="H274" s="6">
        <v>523225</v>
      </c>
      <c r="I274" s="6">
        <v>534871</v>
      </c>
      <c r="N274" s="23"/>
      <c r="O274" s="23"/>
      <c r="P274" s="23"/>
      <c r="Q274" s="23"/>
      <c r="S274" s="24"/>
      <c r="T274" s="25"/>
      <c r="U274" s="24"/>
      <c r="V274" s="23"/>
      <c r="W274" s="25"/>
      <c r="X274" s="24"/>
      <c r="Y274" s="69"/>
      <c r="Z274" s="23"/>
      <c r="AA274" s="23"/>
      <c r="AB274" s="24"/>
      <c r="AC274" s="23"/>
      <c r="AD274" s="22"/>
    </row>
    <row r="275" spans="1:30" x14ac:dyDescent="0.25">
      <c r="A275" s="6" t="s">
        <v>212</v>
      </c>
      <c r="E275" s="6">
        <v>352527</v>
      </c>
      <c r="F275" s="6">
        <v>567910</v>
      </c>
      <c r="G275" s="6">
        <v>990977</v>
      </c>
      <c r="H275" s="6">
        <v>523765</v>
      </c>
      <c r="I275" s="6">
        <v>535398</v>
      </c>
      <c r="N275" s="23"/>
      <c r="O275" s="23"/>
      <c r="P275" s="23"/>
      <c r="Q275" s="23"/>
      <c r="S275" s="24"/>
      <c r="T275" s="25"/>
      <c r="U275" s="24"/>
      <c r="V275" s="23"/>
      <c r="W275" s="25"/>
      <c r="X275" s="24"/>
      <c r="Y275" s="69"/>
      <c r="Z275" s="23"/>
      <c r="AA275" s="23"/>
      <c r="AB275" s="24"/>
      <c r="AC275" s="23"/>
      <c r="AD275" s="22"/>
    </row>
    <row r="276" spans="1:30" x14ac:dyDescent="0.25">
      <c r="A276" s="6" t="s">
        <v>205</v>
      </c>
      <c r="D276" s="6" t="s">
        <v>111</v>
      </c>
      <c r="E276" s="6">
        <f>+E275-E274</f>
        <v>0</v>
      </c>
      <c r="F276" s="6">
        <f>+F275-F274</f>
        <v>539</v>
      </c>
      <c r="G276" s="6">
        <f>+G275-G274</f>
        <v>539</v>
      </c>
      <c r="H276" s="6">
        <f>+H275-H274</f>
        <v>540</v>
      </c>
      <c r="I276" s="6">
        <f>+I275-I274</f>
        <v>527</v>
      </c>
      <c r="J276" s="6">
        <f>SUM(E276:I276)</f>
        <v>2145</v>
      </c>
      <c r="N276" s="23"/>
      <c r="O276" s="23"/>
      <c r="P276" s="23"/>
      <c r="Q276" s="23"/>
      <c r="S276" s="24"/>
      <c r="T276" s="25"/>
      <c r="U276" s="24"/>
      <c r="V276" s="23"/>
      <c r="W276" s="25"/>
      <c r="X276" s="24"/>
      <c r="Y276" s="69"/>
      <c r="Z276" s="23"/>
      <c r="AA276" s="23"/>
      <c r="AB276" s="24"/>
      <c r="AC276" s="23"/>
      <c r="AD276" s="22"/>
    </row>
    <row r="277" spans="1:30" x14ac:dyDescent="0.25">
      <c r="D277" s="6" t="s">
        <v>112</v>
      </c>
      <c r="J277" s="6">
        <v>8446</v>
      </c>
      <c r="L277" s="6" t="s">
        <v>250</v>
      </c>
      <c r="N277" s="23">
        <v>0.24</v>
      </c>
      <c r="O277" s="39">
        <v>25</v>
      </c>
      <c r="P277" s="23">
        <v>3.9E-2</v>
      </c>
      <c r="Q277" s="23">
        <v>5.84</v>
      </c>
      <c r="S277" s="24">
        <f>+J276*100</f>
        <v>214500</v>
      </c>
      <c r="T277" s="25">
        <f>+O277*1.02843*S277/1000000</f>
        <v>5.5149558749999992</v>
      </c>
      <c r="U277" s="135">
        <f>+T277/J278</f>
        <v>3.0441333175467672E-3</v>
      </c>
      <c r="V277" s="139">
        <v>2.5000000000000001E-3</v>
      </c>
      <c r="W277" s="130">
        <v>1.6000000000000001E-3</v>
      </c>
      <c r="X277" s="126">
        <f>(+N277)*(2*0.95*10000)/J277</f>
        <v>0.53990054463651438</v>
      </c>
      <c r="Y277" s="127">
        <v>0.39</v>
      </c>
      <c r="Z277" s="23">
        <f>+J276*100</f>
        <v>214500</v>
      </c>
      <c r="AA277" s="23">
        <f>+P277*Z277/1000000</f>
        <v>8.3654999999999997E-3</v>
      </c>
      <c r="AB277" s="71">
        <f>+AA277/J278*1000000</f>
        <v>4.6175704475491353</v>
      </c>
      <c r="AC277" s="23" t="s">
        <v>113</v>
      </c>
      <c r="AD277" s="128">
        <v>0.8</v>
      </c>
    </row>
    <row r="278" spans="1:30" x14ac:dyDescent="0.25">
      <c r="D278" s="6" t="s">
        <v>114</v>
      </c>
      <c r="J278" s="6">
        <f>+(J276*100*J277)/1000000</f>
        <v>1811.6669999999999</v>
      </c>
      <c r="N278" s="23"/>
      <c r="O278" s="23"/>
      <c r="P278" s="23"/>
      <c r="Q278" s="23"/>
      <c r="S278" s="24"/>
      <c r="T278" s="25"/>
      <c r="U278" s="24"/>
      <c r="V278" s="23"/>
      <c r="W278" s="25"/>
      <c r="X278" s="24"/>
      <c r="Y278" s="69"/>
      <c r="Z278" s="23"/>
      <c r="AA278" s="23"/>
      <c r="AB278" s="24"/>
      <c r="AC278" s="23"/>
      <c r="AD278" s="22"/>
    </row>
    <row r="279" spans="1:30" x14ac:dyDescent="0.25">
      <c r="D279" s="6" t="s">
        <v>115</v>
      </c>
      <c r="J279" s="6">
        <f>+(J276*100*J277)/1000000/69*60</f>
        <v>1575.3626086956519</v>
      </c>
      <c r="K279" s="41" t="s">
        <v>113</v>
      </c>
      <c r="N279" s="23"/>
      <c r="O279" s="23"/>
      <c r="P279" s="23"/>
      <c r="Q279" s="23"/>
      <c r="S279" s="24"/>
      <c r="T279" s="25"/>
      <c r="U279" s="24"/>
      <c r="V279" s="23"/>
      <c r="W279" s="25"/>
      <c r="X279" s="24"/>
      <c r="Y279" s="69"/>
      <c r="Z279" s="23"/>
      <c r="AA279" s="23"/>
      <c r="AB279" s="24"/>
      <c r="AC279" s="23"/>
      <c r="AD279" s="22"/>
    </row>
    <row r="280" spans="1:30" x14ac:dyDescent="0.25">
      <c r="S280" s="67"/>
      <c r="T280" s="22"/>
      <c r="U280" s="67"/>
      <c r="W280" s="22"/>
      <c r="X280" s="67"/>
      <c r="Y280" s="22"/>
      <c r="AB280" s="67"/>
      <c r="AD280" s="22"/>
    </row>
    <row r="281" spans="1:30" x14ac:dyDescent="0.25">
      <c r="A281" s="6" t="s">
        <v>213</v>
      </c>
      <c r="D281" s="6" t="s">
        <v>80</v>
      </c>
      <c r="N281" s="23"/>
      <c r="O281" s="23"/>
      <c r="P281" s="23"/>
      <c r="Q281" s="23"/>
      <c r="S281" s="24"/>
      <c r="T281" s="25"/>
      <c r="U281" s="24"/>
      <c r="V281" s="23"/>
      <c r="W281" s="25"/>
      <c r="X281" s="24"/>
      <c r="Y281" s="69"/>
      <c r="Z281" s="23"/>
      <c r="AA281" s="23"/>
      <c r="AB281" s="24"/>
      <c r="AC281" s="23"/>
      <c r="AD281" s="22"/>
    </row>
    <row r="282" spans="1:30" x14ac:dyDescent="0.25">
      <c r="A282" s="41">
        <v>1453</v>
      </c>
      <c r="B282" s="41">
        <v>1607</v>
      </c>
      <c r="D282" s="6">
        <v>170</v>
      </c>
      <c r="E282" s="6">
        <v>353193</v>
      </c>
      <c r="F282" s="6">
        <v>568649</v>
      </c>
      <c r="G282" s="6">
        <v>991716</v>
      </c>
      <c r="H282" s="6">
        <v>524434</v>
      </c>
      <c r="I282" s="6">
        <v>536052</v>
      </c>
      <c r="N282" s="23"/>
      <c r="O282" s="23"/>
      <c r="P282" s="23"/>
      <c r="Q282" s="23"/>
      <c r="S282" s="24"/>
      <c r="T282" s="25"/>
      <c r="U282" s="24"/>
      <c r="V282" s="23"/>
      <c r="W282" s="25"/>
      <c r="X282" s="24"/>
      <c r="Y282" s="69"/>
      <c r="Z282" s="23"/>
      <c r="AA282" s="23"/>
      <c r="AB282" s="24"/>
      <c r="AC282" s="23"/>
      <c r="AD282" s="22"/>
    </row>
    <row r="283" spans="1:30" x14ac:dyDescent="0.25">
      <c r="A283" s="6" t="s">
        <v>215</v>
      </c>
      <c r="E283" s="6">
        <v>353682</v>
      </c>
      <c r="F283" s="6">
        <v>569137</v>
      </c>
      <c r="G283" s="6">
        <v>992204</v>
      </c>
      <c r="H283" s="6">
        <v>524866</v>
      </c>
      <c r="I283" s="6">
        <v>536483</v>
      </c>
      <c r="N283" s="23"/>
      <c r="O283" s="23"/>
      <c r="P283" s="23"/>
      <c r="Q283" s="23"/>
      <c r="S283" s="24"/>
      <c r="T283" s="25"/>
      <c r="U283" s="24"/>
      <c r="V283" s="23"/>
      <c r="W283" s="25"/>
      <c r="X283" s="24"/>
      <c r="Y283" s="69"/>
      <c r="Z283" s="23"/>
      <c r="AA283" s="23"/>
      <c r="AB283" s="24"/>
      <c r="AC283" s="23"/>
      <c r="AD283" s="22"/>
    </row>
    <row r="284" spans="1:30" x14ac:dyDescent="0.25">
      <c r="A284" s="6" t="s">
        <v>205</v>
      </c>
      <c r="D284" s="6" t="s">
        <v>111</v>
      </c>
      <c r="E284" s="6">
        <f>+E283-E282</f>
        <v>489</v>
      </c>
      <c r="F284" s="6">
        <f>+F283-F282</f>
        <v>488</v>
      </c>
      <c r="G284" s="6">
        <f>+G283-G282</f>
        <v>488</v>
      </c>
      <c r="H284" s="6">
        <f>+H283-H282</f>
        <v>432</v>
      </c>
      <c r="I284" s="6">
        <f>+I283-I282</f>
        <v>431</v>
      </c>
      <c r="J284" s="6">
        <f>SUM(E284:I284)</f>
        <v>2328</v>
      </c>
      <c r="N284" s="23"/>
      <c r="O284" s="23"/>
      <c r="P284" s="23"/>
      <c r="Q284" s="23"/>
      <c r="S284" s="24"/>
      <c r="T284" s="25"/>
      <c r="U284" s="24"/>
      <c r="V284" s="23"/>
      <c r="W284" s="25"/>
      <c r="X284" s="24"/>
      <c r="Y284" s="69"/>
      <c r="Z284" s="23"/>
      <c r="AA284" s="23"/>
      <c r="AB284" s="24"/>
      <c r="AC284" s="23"/>
      <c r="AD284" s="22"/>
    </row>
    <row r="285" spans="1:30" x14ac:dyDescent="0.25">
      <c r="D285" s="6" t="s">
        <v>112</v>
      </c>
      <c r="J285" s="6">
        <v>8446</v>
      </c>
      <c r="L285" s="6" t="s">
        <v>250</v>
      </c>
      <c r="N285" s="23">
        <v>0.24</v>
      </c>
      <c r="O285" s="39">
        <v>25</v>
      </c>
      <c r="P285" s="23">
        <v>3.9E-2</v>
      </c>
      <c r="Q285" s="23">
        <v>5.84</v>
      </c>
      <c r="S285" s="24">
        <f>+J284*100</f>
        <v>232800</v>
      </c>
      <c r="T285" s="25">
        <f>+O285*1.02843*S285/1000000</f>
        <v>5.9854626</v>
      </c>
      <c r="U285" s="135">
        <f>+T285/J286</f>
        <v>3.0441333175467676E-3</v>
      </c>
      <c r="V285" s="131">
        <v>2E-3</v>
      </c>
      <c r="W285" s="130">
        <v>2E-3</v>
      </c>
      <c r="X285" s="126">
        <f>(+N285)*(2*0.95*10000)/J285</f>
        <v>0.53990054463651438</v>
      </c>
      <c r="Y285" s="127">
        <v>0.39</v>
      </c>
      <c r="Z285" s="23">
        <f>+J284*100</f>
        <v>232800</v>
      </c>
      <c r="AA285" s="23">
        <f>+P285*Z285/1000000</f>
        <v>9.0792000000000008E-3</v>
      </c>
      <c r="AB285" s="71">
        <f>+AA285/J286*1000000</f>
        <v>4.6175704475491361</v>
      </c>
      <c r="AC285" s="23" t="s">
        <v>113</v>
      </c>
      <c r="AD285" s="128">
        <v>0.82</v>
      </c>
    </row>
    <row r="286" spans="1:30" x14ac:dyDescent="0.25">
      <c r="D286" s="6" t="s">
        <v>114</v>
      </c>
      <c r="J286" s="6">
        <f>+(J284*100*J285)/1000000</f>
        <v>1966.2288000000001</v>
      </c>
      <c r="N286" s="23"/>
      <c r="O286" s="23"/>
      <c r="P286" s="23"/>
      <c r="Q286" s="23"/>
      <c r="S286" s="24"/>
      <c r="T286" s="25"/>
      <c r="U286" s="24"/>
      <c r="V286" s="23"/>
      <c r="W286" s="25"/>
      <c r="X286" s="24"/>
      <c r="Y286" s="69"/>
      <c r="Z286" s="23"/>
      <c r="AA286" s="23"/>
      <c r="AB286" s="24"/>
      <c r="AC286" s="23"/>
      <c r="AD286" s="22"/>
    </row>
    <row r="287" spans="1:30" x14ac:dyDescent="0.25">
      <c r="D287" s="6" t="s">
        <v>115</v>
      </c>
      <c r="J287" s="6">
        <f>+(J284*100*J285)/1000000/74*60</f>
        <v>1594.2395675675675</v>
      </c>
      <c r="K287" s="41" t="s">
        <v>113</v>
      </c>
      <c r="N287" s="23"/>
      <c r="O287" s="23"/>
      <c r="P287" s="23"/>
      <c r="Q287" s="23"/>
      <c r="S287" s="24"/>
      <c r="T287" s="25"/>
      <c r="U287" s="24"/>
      <c r="V287" s="23"/>
      <c r="W287" s="25"/>
      <c r="X287" s="24"/>
      <c r="Y287" s="69"/>
      <c r="Z287" s="23"/>
      <c r="AA287" s="23"/>
      <c r="AB287" s="24"/>
      <c r="AC287" s="23"/>
      <c r="AD287" s="22"/>
    </row>
    <row r="288" spans="1:30" x14ac:dyDescent="0.25">
      <c r="S288" s="67"/>
      <c r="T288" s="22"/>
      <c r="U288" s="67"/>
      <c r="W288" s="22"/>
      <c r="X288" s="67"/>
      <c r="Y288" s="22"/>
      <c r="AB288" s="67"/>
      <c r="AD288" s="22"/>
    </row>
    <row r="289" spans="1:30" x14ac:dyDescent="0.25">
      <c r="A289" s="6" t="s">
        <v>214</v>
      </c>
      <c r="D289" s="6" t="s">
        <v>80</v>
      </c>
      <c r="N289" s="23"/>
      <c r="O289" s="23"/>
      <c r="P289" s="23"/>
      <c r="Q289" s="23"/>
      <c r="S289" s="24"/>
      <c r="T289" s="25"/>
      <c r="U289" s="24"/>
      <c r="V289" s="23"/>
      <c r="W289" s="25"/>
      <c r="X289" s="24"/>
      <c r="Y289" s="69"/>
      <c r="Z289" s="23"/>
      <c r="AA289" s="23"/>
      <c r="AB289" s="24"/>
      <c r="AC289" s="23"/>
      <c r="AD289" s="22"/>
    </row>
    <row r="290" spans="1:30" x14ac:dyDescent="0.25">
      <c r="A290" s="41">
        <v>1632</v>
      </c>
      <c r="B290" s="41">
        <v>1707</v>
      </c>
      <c r="D290" s="6">
        <v>195</v>
      </c>
      <c r="E290" s="6">
        <v>353868</v>
      </c>
      <c r="F290" s="6">
        <v>569322</v>
      </c>
      <c r="G290" s="6">
        <v>992389</v>
      </c>
      <c r="H290" s="6">
        <v>525041</v>
      </c>
      <c r="I290" s="6">
        <v>536658</v>
      </c>
      <c r="N290" s="23"/>
      <c r="O290" s="23"/>
      <c r="P290" s="23"/>
      <c r="Q290" s="23"/>
      <c r="S290" s="24"/>
      <c r="T290" s="25"/>
      <c r="U290" s="24"/>
      <c r="V290" s="23"/>
      <c r="W290" s="25"/>
      <c r="X290" s="24"/>
      <c r="Y290" s="69"/>
      <c r="Z290" s="23"/>
      <c r="AA290" s="23"/>
      <c r="AB290" s="24"/>
      <c r="AC290" s="23"/>
      <c r="AD290" s="22"/>
    </row>
    <row r="291" spans="1:30" x14ac:dyDescent="0.25">
      <c r="A291" s="6" t="s">
        <v>216</v>
      </c>
      <c r="E291" s="6">
        <v>354133</v>
      </c>
      <c r="F291" s="6">
        <v>569586</v>
      </c>
      <c r="G291" s="6">
        <v>992653</v>
      </c>
      <c r="H291" s="6">
        <v>525306</v>
      </c>
      <c r="I291" s="6">
        <v>536923</v>
      </c>
      <c r="N291" s="23"/>
      <c r="O291" s="23"/>
      <c r="P291" s="23"/>
      <c r="Q291" s="23"/>
      <c r="S291" s="24"/>
      <c r="T291" s="25"/>
      <c r="U291" s="24"/>
      <c r="V291" s="23"/>
      <c r="W291" s="25"/>
      <c r="X291" s="24"/>
      <c r="Y291" s="69"/>
      <c r="Z291" s="23"/>
      <c r="AA291" s="23"/>
      <c r="AB291" s="24"/>
      <c r="AC291" s="23"/>
      <c r="AD291" s="22"/>
    </row>
    <row r="292" spans="1:30" x14ac:dyDescent="0.25">
      <c r="A292" s="6" t="s">
        <v>205</v>
      </c>
      <c r="D292" s="6" t="s">
        <v>111</v>
      </c>
      <c r="E292" s="6">
        <f>+E291-E290</f>
        <v>265</v>
      </c>
      <c r="F292" s="6">
        <f>+F291-F290</f>
        <v>264</v>
      </c>
      <c r="G292" s="6">
        <f>+G291-G290</f>
        <v>264</v>
      </c>
      <c r="H292" s="6">
        <f>+H291-H290</f>
        <v>265</v>
      </c>
      <c r="I292" s="6">
        <f>+I291-I290</f>
        <v>265</v>
      </c>
      <c r="J292" s="6">
        <f>SUM(E292:I292)</f>
        <v>1323</v>
      </c>
      <c r="N292" s="23"/>
      <c r="O292" s="23"/>
      <c r="P292" s="23"/>
      <c r="Q292" s="23"/>
      <c r="S292" s="24"/>
      <c r="T292" s="25"/>
      <c r="U292" s="24"/>
      <c r="V292" s="23"/>
      <c r="W292" s="25"/>
      <c r="X292" s="24"/>
      <c r="Y292" s="69"/>
      <c r="Z292" s="23"/>
      <c r="AA292" s="23"/>
      <c r="AB292" s="24"/>
      <c r="AC292" s="23"/>
      <c r="AD292" s="22"/>
    </row>
    <row r="293" spans="1:30" x14ac:dyDescent="0.25">
      <c r="D293" s="6" t="s">
        <v>112</v>
      </c>
      <c r="J293" s="6">
        <v>8446</v>
      </c>
      <c r="L293" s="6" t="s">
        <v>250</v>
      </c>
      <c r="N293" s="23">
        <v>0.24</v>
      </c>
      <c r="O293" s="39">
        <v>25</v>
      </c>
      <c r="P293" s="23">
        <v>3.9E-2</v>
      </c>
      <c r="Q293" s="23">
        <v>5.84</v>
      </c>
      <c r="S293" s="24">
        <f>+J292*100</f>
        <v>132300</v>
      </c>
      <c r="T293" s="25">
        <f>+O293*1.02843*S293/1000000</f>
        <v>3.4015322249999995</v>
      </c>
      <c r="U293" s="135">
        <f>+T293/J294</f>
        <v>3.0441333175467672E-3</v>
      </c>
      <c r="V293" s="131">
        <v>2.0999999999999999E-3</v>
      </c>
      <c r="W293" s="25" t="s">
        <v>113</v>
      </c>
      <c r="X293" s="126">
        <f>(+N293)*(2*0.95*10000)/J293</f>
        <v>0.53990054463651438</v>
      </c>
      <c r="Y293" s="127">
        <v>0.4</v>
      </c>
      <c r="Z293" s="23">
        <f>+J292*100</f>
        <v>132300</v>
      </c>
      <c r="AA293" s="23">
        <f>+P293*Z293/1000000</f>
        <v>5.1596999999999997E-3</v>
      </c>
      <c r="AB293" s="71">
        <f>+AA293/J294*1000000</f>
        <v>4.6175704475491353</v>
      </c>
      <c r="AC293" s="23" t="s">
        <v>113</v>
      </c>
      <c r="AD293" s="142">
        <v>1.31</v>
      </c>
    </row>
    <row r="294" spans="1:30" x14ac:dyDescent="0.25">
      <c r="D294" s="6" t="s">
        <v>114</v>
      </c>
      <c r="J294" s="6">
        <f>+(J292*100*J293)/1000000</f>
        <v>1117.4058</v>
      </c>
      <c r="N294" s="23"/>
      <c r="O294" s="23"/>
      <c r="P294" s="23"/>
      <c r="Q294" s="23"/>
      <c r="S294" s="24"/>
      <c r="T294" s="25"/>
      <c r="U294" s="24"/>
      <c r="V294" s="23"/>
      <c r="W294" s="25"/>
      <c r="X294" s="24"/>
      <c r="Y294" s="69"/>
      <c r="Z294" s="23"/>
      <c r="AA294" s="23"/>
      <c r="AB294" s="24"/>
      <c r="AC294" s="23"/>
      <c r="AD294" s="22"/>
    </row>
    <row r="295" spans="1:30" x14ac:dyDescent="0.25">
      <c r="D295" s="6" t="s">
        <v>115</v>
      </c>
      <c r="J295" s="6">
        <f>+(J292*100*J293)/1000000/35*60</f>
        <v>1915.5527999999999</v>
      </c>
      <c r="K295" s="41" t="s">
        <v>113</v>
      </c>
      <c r="N295" s="23"/>
      <c r="O295" s="23"/>
      <c r="P295" s="23"/>
      <c r="Q295" s="23"/>
      <c r="S295" s="24"/>
      <c r="T295" s="25"/>
      <c r="U295" s="24"/>
      <c r="V295" s="23"/>
      <c r="W295" s="25"/>
      <c r="X295" s="24"/>
      <c r="Y295" s="69"/>
      <c r="Z295" s="23"/>
      <c r="AA295" s="23"/>
      <c r="AB295" s="24"/>
      <c r="AC295" s="23"/>
      <c r="AD295" s="22"/>
    </row>
    <row r="296" spans="1:30" x14ac:dyDescent="0.25">
      <c r="S296" s="67"/>
      <c r="T296" s="22"/>
      <c r="U296" s="67"/>
      <c r="W296" s="22"/>
      <c r="X296" s="67"/>
      <c r="Y296" s="22"/>
      <c r="AB296" s="67"/>
      <c r="AD296" s="22"/>
    </row>
    <row r="297" spans="1:30" ht="21" x14ac:dyDescent="0.35">
      <c r="A297" s="15" t="s">
        <v>314</v>
      </c>
      <c r="S297" s="67"/>
      <c r="T297" s="22"/>
      <c r="U297" s="67"/>
      <c r="W297" s="22"/>
      <c r="X297" s="67"/>
      <c r="Y297" s="22"/>
      <c r="AB297" s="67"/>
      <c r="AD297" s="22"/>
    </row>
    <row r="298" spans="1:30" x14ac:dyDescent="0.25">
      <c r="A298" s="6" t="s">
        <v>217</v>
      </c>
      <c r="D298" s="6" t="s">
        <v>80</v>
      </c>
      <c r="N298" s="23"/>
      <c r="O298" s="23"/>
      <c r="P298" s="23"/>
      <c r="Q298" s="23"/>
      <c r="S298" s="24"/>
      <c r="T298" s="25"/>
      <c r="U298" s="24"/>
      <c r="V298" s="23"/>
      <c r="W298" s="25"/>
      <c r="X298" s="24"/>
      <c r="Y298" s="69"/>
      <c r="Z298" s="23"/>
      <c r="AA298" s="23"/>
      <c r="AB298" s="24"/>
      <c r="AC298" s="23"/>
      <c r="AD298" s="22"/>
    </row>
    <row r="299" spans="1:30" x14ac:dyDescent="0.25">
      <c r="A299" s="41">
        <v>930</v>
      </c>
      <c r="B299" s="41">
        <v>1000</v>
      </c>
      <c r="D299" s="6">
        <v>195</v>
      </c>
      <c r="E299" s="6">
        <v>357942</v>
      </c>
      <c r="F299" s="6">
        <v>574609</v>
      </c>
      <c r="G299" s="6">
        <v>997808</v>
      </c>
      <c r="H299" s="6">
        <v>530432</v>
      </c>
      <c r="I299" s="6">
        <v>542062</v>
      </c>
      <c r="N299" s="23"/>
      <c r="O299" s="23"/>
      <c r="P299" s="23"/>
      <c r="Q299" s="23"/>
      <c r="S299" s="24"/>
      <c r="T299" s="25"/>
      <c r="U299" s="24"/>
      <c r="V299" s="23"/>
      <c r="W299" s="25"/>
      <c r="X299" s="24"/>
      <c r="Y299" s="69"/>
      <c r="Z299" s="23"/>
      <c r="AA299" s="23"/>
      <c r="AB299" s="24"/>
      <c r="AC299" s="23"/>
      <c r="AD299" s="22"/>
    </row>
    <row r="300" spans="1:30" x14ac:dyDescent="0.25">
      <c r="A300" s="6" t="s">
        <v>218</v>
      </c>
      <c r="E300" s="6">
        <v>358150</v>
      </c>
      <c r="F300" s="6">
        <v>574847</v>
      </c>
      <c r="G300" s="6">
        <v>998046</v>
      </c>
      <c r="H300" s="6">
        <v>530640</v>
      </c>
      <c r="I300" s="6">
        <v>542300</v>
      </c>
      <c r="N300" s="23"/>
      <c r="O300" s="23"/>
      <c r="P300" s="23"/>
      <c r="Q300" s="23"/>
      <c r="S300" s="24"/>
      <c r="T300" s="25"/>
      <c r="U300" s="24"/>
      <c r="V300" s="23"/>
      <c r="W300" s="25"/>
      <c r="X300" s="24"/>
      <c r="Y300" s="69"/>
      <c r="Z300" s="23"/>
      <c r="AA300" s="23"/>
      <c r="AB300" s="24"/>
      <c r="AC300" s="23"/>
      <c r="AD300" s="22"/>
    </row>
    <row r="301" spans="1:30" x14ac:dyDescent="0.25">
      <c r="A301" s="6" t="s">
        <v>219</v>
      </c>
      <c r="D301" s="6" t="s">
        <v>111</v>
      </c>
      <c r="E301" s="6">
        <f>+E300-E299</f>
        <v>208</v>
      </c>
      <c r="F301" s="6">
        <f>+F300-F299</f>
        <v>238</v>
      </c>
      <c r="G301" s="6">
        <f>+G300-G299</f>
        <v>238</v>
      </c>
      <c r="H301" s="6">
        <f>+H300-H299</f>
        <v>208</v>
      </c>
      <c r="I301" s="6">
        <f>+I300-I299</f>
        <v>238</v>
      </c>
      <c r="J301" s="6">
        <f>SUM(E301:I301)</f>
        <v>1130</v>
      </c>
      <c r="N301" s="23"/>
      <c r="O301" s="23"/>
      <c r="P301" s="23"/>
      <c r="Q301" s="23"/>
      <c r="S301" s="24"/>
      <c r="T301" s="25"/>
      <c r="U301" s="24"/>
      <c r="V301" s="23"/>
      <c r="W301" s="25"/>
      <c r="X301" s="24"/>
      <c r="Y301" s="69"/>
      <c r="Z301" s="23"/>
      <c r="AA301" s="23"/>
      <c r="AB301" s="24"/>
      <c r="AC301" s="23"/>
      <c r="AD301" s="22"/>
    </row>
    <row r="302" spans="1:30" x14ac:dyDescent="0.25">
      <c r="D302" s="6" t="s">
        <v>112</v>
      </c>
      <c r="J302" s="6">
        <v>8804</v>
      </c>
      <c r="L302" s="6" t="s">
        <v>280</v>
      </c>
      <c r="N302" s="23">
        <v>0.24</v>
      </c>
      <c r="O302" s="39">
        <v>25</v>
      </c>
      <c r="P302" s="23">
        <v>3.7999999999999999E-2</v>
      </c>
      <c r="Q302" s="23">
        <v>4.8499999999999996</v>
      </c>
      <c r="S302" s="24">
        <f>+J301*100</f>
        <v>113000</v>
      </c>
      <c r="T302" s="25">
        <f>+O302*1.02843*S302/1000000</f>
        <v>2.9053147499999996</v>
      </c>
      <c r="U302" s="135">
        <f>+T302/J303</f>
        <v>2.9203487051340299E-3</v>
      </c>
      <c r="V302" s="131">
        <v>1.6999999999999999E-3</v>
      </c>
      <c r="W302" s="25" t="s">
        <v>113</v>
      </c>
      <c r="X302" s="126">
        <f>(+N302)*(2*0.95*10000)/J302</f>
        <v>0.51794638800545212</v>
      </c>
      <c r="Y302" s="127">
        <v>0.39</v>
      </c>
      <c r="Z302" s="23">
        <f>+J301*100</f>
        <v>113000</v>
      </c>
      <c r="AA302" s="23">
        <f>+P302*Z302/1000000</f>
        <v>4.2940000000000001E-3</v>
      </c>
      <c r="AB302" s="71">
        <f>+AA302/J303*1000000</f>
        <v>4.316219900045434</v>
      </c>
      <c r="AC302" s="23" t="s">
        <v>113</v>
      </c>
      <c r="AD302" s="142">
        <v>5.69</v>
      </c>
    </row>
    <row r="303" spans="1:30" x14ac:dyDescent="0.25">
      <c r="D303" s="6" t="s">
        <v>114</v>
      </c>
      <c r="J303" s="6">
        <f>+(J301*100*J302)/1000000</f>
        <v>994.85199999999998</v>
      </c>
      <c r="N303" s="23"/>
      <c r="O303" s="23"/>
      <c r="P303" s="23"/>
      <c r="Q303" s="23"/>
      <c r="S303" s="24"/>
      <c r="T303" s="25"/>
      <c r="U303" s="24"/>
      <c r="V303" s="23"/>
      <c r="W303" s="25"/>
      <c r="X303" s="24"/>
      <c r="Y303" s="69"/>
      <c r="Z303" s="23"/>
      <c r="AA303" s="23"/>
      <c r="AB303" s="24"/>
      <c r="AC303" s="23"/>
      <c r="AD303" s="22"/>
    </row>
    <row r="304" spans="1:30" x14ac:dyDescent="0.25">
      <c r="D304" s="6" t="s">
        <v>115</v>
      </c>
      <c r="J304" s="6">
        <f>+(J301*100*J302)/1000000/30*60</f>
        <v>1989.7039999999997</v>
      </c>
      <c r="K304" s="41" t="s">
        <v>113</v>
      </c>
      <c r="N304" s="23"/>
      <c r="O304" s="23"/>
      <c r="P304" s="23"/>
      <c r="Q304" s="23"/>
      <c r="S304" s="24"/>
      <c r="T304" s="25"/>
      <c r="U304" s="24"/>
      <c r="V304" s="23"/>
      <c r="W304" s="25"/>
      <c r="X304" s="24"/>
      <c r="Y304" s="69"/>
      <c r="Z304" s="23"/>
      <c r="AA304" s="23"/>
      <c r="AB304" s="24"/>
      <c r="AC304" s="23"/>
      <c r="AD304" s="22"/>
    </row>
    <row r="305" spans="1:30" x14ac:dyDescent="0.25">
      <c r="S305" s="67"/>
      <c r="T305" s="22"/>
      <c r="U305" s="67"/>
      <c r="W305" s="22"/>
      <c r="X305" s="67"/>
      <c r="Y305" s="22"/>
      <c r="AB305" s="67"/>
      <c r="AD305" s="22"/>
    </row>
    <row r="306" spans="1:30" x14ac:dyDescent="0.25">
      <c r="A306" s="6" t="s">
        <v>220</v>
      </c>
      <c r="D306" s="6" t="s">
        <v>80</v>
      </c>
      <c r="N306" s="23"/>
      <c r="O306" s="23"/>
      <c r="P306" s="23"/>
      <c r="Q306" s="23"/>
      <c r="S306" s="24"/>
      <c r="T306" s="25"/>
      <c r="U306" s="24"/>
      <c r="V306" s="23"/>
      <c r="W306" s="25"/>
      <c r="X306" s="24"/>
      <c r="Y306" s="69"/>
      <c r="Z306" s="23"/>
      <c r="AA306" s="23"/>
      <c r="AB306" s="24"/>
      <c r="AC306" s="23"/>
      <c r="AD306" s="22"/>
    </row>
    <row r="307" spans="1:30" x14ac:dyDescent="0.25">
      <c r="A307" s="41">
        <v>1015</v>
      </c>
      <c r="B307" s="41">
        <v>1045</v>
      </c>
      <c r="D307" s="6">
        <v>195</v>
      </c>
      <c r="E307" s="6">
        <v>358253</v>
      </c>
      <c r="F307" s="6">
        <v>574965</v>
      </c>
      <c r="G307" s="6">
        <v>998164</v>
      </c>
      <c r="H307" s="6">
        <v>536743</v>
      </c>
      <c r="I307" s="6">
        <v>542418</v>
      </c>
      <c r="N307" s="23"/>
      <c r="O307" s="23"/>
      <c r="P307" s="23"/>
      <c r="Q307" s="23"/>
      <c r="S307" s="24"/>
      <c r="T307" s="25"/>
      <c r="U307" s="24"/>
      <c r="V307" s="23"/>
      <c r="W307" s="25"/>
      <c r="X307" s="24"/>
      <c r="Y307" s="69"/>
      <c r="Z307" s="23"/>
      <c r="AA307" s="23"/>
      <c r="AB307" s="24"/>
      <c r="AC307" s="23"/>
      <c r="AD307" s="22"/>
    </row>
    <row r="308" spans="1:30" x14ac:dyDescent="0.25">
      <c r="A308" s="6" t="s">
        <v>221</v>
      </c>
      <c r="E308" s="6">
        <v>358466</v>
      </c>
      <c r="F308" s="6">
        <v>575208</v>
      </c>
      <c r="G308" s="6">
        <v>998406</v>
      </c>
      <c r="H308" s="6">
        <v>536955</v>
      </c>
      <c r="I308" s="6">
        <v>542661</v>
      </c>
      <c r="N308" s="23"/>
      <c r="O308" s="23"/>
      <c r="P308" s="23"/>
      <c r="Q308" s="23"/>
      <c r="S308" s="24"/>
      <c r="T308" s="25"/>
      <c r="U308" s="24"/>
      <c r="V308" s="23"/>
      <c r="W308" s="25"/>
      <c r="X308" s="24"/>
      <c r="Y308" s="69"/>
      <c r="Z308" s="23"/>
      <c r="AA308" s="23"/>
      <c r="AB308" s="24"/>
      <c r="AC308" s="23"/>
      <c r="AD308" s="22"/>
    </row>
    <row r="309" spans="1:30" x14ac:dyDescent="0.25">
      <c r="A309" s="6" t="s">
        <v>219</v>
      </c>
      <c r="D309" s="6" t="s">
        <v>111</v>
      </c>
      <c r="E309" s="6">
        <f>+E308-E307</f>
        <v>213</v>
      </c>
      <c r="F309" s="6">
        <f>+F308-F307</f>
        <v>243</v>
      </c>
      <c r="G309" s="6">
        <f>+G308-G307</f>
        <v>242</v>
      </c>
      <c r="H309" s="6">
        <f>+H308-H307</f>
        <v>212</v>
      </c>
      <c r="I309" s="6">
        <f>+I308-I307</f>
        <v>243</v>
      </c>
      <c r="J309" s="6">
        <f>SUM(E309:I309)</f>
        <v>1153</v>
      </c>
      <c r="N309" s="23"/>
      <c r="O309" s="23"/>
      <c r="P309" s="23"/>
      <c r="Q309" s="23"/>
      <c r="S309" s="24"/>
      <c r="T309" s="25"/>
      <c r="U309" s="24"/>
      <c r="V309" s="23"/>
      <c r="W309" s="25"/>
      <c r="X309" s="24"/>
      <c r="Y309" s="69"/>
      <c r="Z309" s="23"/>
      <c r="AA309" s="23"/>
      <c r="AB309" s="24"/>
      <c r="AC309" s="23"/>
      <c r="AD309" s="22"/>
    </row>
    <row r="310" spans="1:30" x14ac:dyDescent="0.25">
      <c r="D310" s="6" t="s">
        <v>112</v>
      </c>
      <c r="J310" s="6">
        <v>8804</v>
      </c>
      <c r="L310" s="6" t="s">
        <v>280</v>
      </c>
      <c r="N310" s="23">
        <v>0.24</v>
      </c>
      <c r="O310" s="39">
        <v>25</v>
      </c>
      <c r="P310" s="23">
        <v>3.7999999999999999E-2</v>
      </c>
      <c r="Q310" s="23">
        <v>4.8499999999999996</v>
      </c>
      <c r="S310" s="24">
        <f>+J309*100</f>
        <v>115300</v>
      </c>
      <c r="T310" s="25">
        <f>+O310*1.02843*S310/1000000</f>
        <v>2.9644494749999994</v>
      </c>
      <c r="U310" s="135">
        <f>+T310/J311</f>
        <v>2.9203487051340294E-3</v>
      </c>
      <c r="V310" s="131">
        <v>1.5E-3</v>
      </c>
      <c r="W310" s="25" t="s">
        <v>113</v>
      </c>
      <c r="X310" s="126">
        <f>(+N310)*(2*0.95*10000)/J310</f>
        <v>0.51794638800545212</v>
      </c>
      <c r="Y310" s="127">
        <v>0.39</v>
      </c>
      <c r="Z310" s="23">
        <f>+J309*100</f>
        <v>115300</v>
      </c>
      <c r="AA310" s="23">
        <f>+P310*Z310/1000000</f>
        <v>4.3813999999999997E-3</v>
      </c>
      <c r="AB310" s="71">
        <f>+AA310/J311*1000000</f>
        <v>4.316219900045434</v>
      </c>
      <c r="AC310" s="23" t="s">
        <v>113</v>
      </c>
      <c r="AD310" s="142">
        <v>5.72</v>
      </c>
    </row>
    <row r="311" spans="1:30" x14ac:dyDescent="0.25">
      <c r="D311" s="6" t="s">
        <v>114</v>
      </c>
      <c r="J311" s="6">
        <f>+(J309*100*J310)/1000000</f>
        <v>1015.1011999999999</v>
      </c>
      <c r="N311" s="23"/>
      <c r="O311" s="23"/>
      <c r="P311" s="23"/>
      <c r="Q311" s="23"/>
      <c r="S311" s="24"/>
      <c r="T311" s="25"/>
      <c r="U311" s="24"/>
      <c r="V311" s="23"/>
      <c r="W311" s="25"/>
      <c r="X311" s="24"/>
      <c r="Y311" s="69"/>
      <c r="Z311" s="23"/>
      <c r="AA311" s="23"/>
      <c r="AB311" s="24"/>
      <c r="AC311" s="23"/>
      <c r="AD311" s="22"/>
    </row>
    <row r="312" spans="1:30" x14ac:dyDescent="0.25">
      <c r="D312" s="6" t="s">
        <v>115</v>
      </c>
      <c r="J312" s="6">
        <f>+(J309*100*J310)/1000000/30*60</f>
        <v>2030.2023999999999</v>
      </c>
      <c r="K312" s="41" t="s">
        <v>113</v>
      </c>
      <c r="N312" s="23"/>
      <c r="O312" s="23"/>
      <c r="P312" s="23"/>
      <c r="Q312" s="23"/>
      <c r="S312" s="24"/>
      <c r="T312" s="25"/>
      <c r="U312" s="24"/>
      <c r="V312" s="23"/>
      <c r="W312" s="25"/>
      <c r="X312" s="24"/>
      <c r="Y312" s="69"/>
      <c r="Z312" s="23"/>
      <c r="AA312" s="23"/>
      <c r="AB312" s="24"/>
      <c r="AC312" s="23"/>
      <c r="AD312" s="22"/>
    </row>
    <row r="313" spans="1:30" x14ac:dyDescent="0.25">
      <c r="S313" s="67"/>
      <c r="T313" s="22"/>
      <c r="U313" s="67"/>
      <c r="W313" s="22"/>
      <c r="X313" s="67"/>
      <c r="Y313" s="22"/>
      <c r="AB313" s="67"/>
      <c r="AD313" s="22"/>
    </row>
    <row r="314" spans="1:30" x14ac:dyDescent="0.25">
      <c r="A314" s="6" t="s">
        <v>222</v>
      </c>
      <c r="D314" s="6" t="s">
        <v>80</v>
      </c>
      <c r="N314" s="23"/>
      <c r="O314" s="23"/>
      <c r="P314" s="23"/>
      <c r="Q314" s="23"/>
      <c r="S314" s="24"/>
      <c r="T314" s="25"/>
      <c r="U314" s="24"/>
      <c r="V314" s="23"/>
      <c r="W314" s="25"/>
      <c r="X314" s="24"/>
      <c r="Y314" s="69"/>
      <c r="Z314" s="23"/>
      <c r="AA314" s="23"/>
      <c r="AB314" s="24"/>
      <c r="AC314" s="23"/>
      <c r="AD314" s="22"/>
    </row>
    <row r="315" spans="1:30" x14ac:dyDescent="0.25">
      <c r="A315" s="41">
        <v>1410</v>
      </c>
      <c r="B315" s="41">
        <v>1440</v>
      </c>
      <c r="D315" s="6">
        <v>195</v>
      </c>
      <c r="E315" s="6">
        <v>359855</v>
      </c>
      <c r="F315" s="6">
        <v>576776</v>
      </c>
      <c r="G315" s="6">
        <v>999992</v>
      </c>
      <c r="H315" s="6">
        <v>532349</v>
      </c>
      <c r="I315" s="6">
        <v>544254</v>
      </c>
      <c r="N315" s="23"/>
      <c r="O315" s="23"/>
      <c r="P315" s="23"/>
      <c r="Q315" s="23"/>
      <c r="S315" s="24"/>
      <c r="T315" s="25"/>
      <c r="U315" s="24"/>
      <c r="V315" s="23"/>
      <c r="W315" s="25"/>
      <c r="X315" s="24"/>
      <c r="Y315" s="69"/>
      <c r="Z315" s="23"/>
      <c r="AA315" s="23"/>
      <c r="AB315" s="24"/>
      <c r="AC315" s="23"/>
      <c r="AD315" s="22"/>
    </row>
    <row r="316" spans="1:30" x14ac:dyDescent="0.25">
      <c r="A316" s="6" t="s">
        <v>223</v>
      </c>
      <c r="E316" s="6">
        <v>360072</v>
      </c>
      <c r="F316" s="6">
        <v>577023</v>
      </c>
      <c r="G316" s="6">
        <v>1000241</v>
      </c>
      <c r="H316" s="6">
        <v>532567</v>
      </c>
      <c r="I316" s="6">
        <v>544503</v>
      </c>
      <c r="N316" s="23"/>
      <c r="O316" s="23"/>
      <c r="P316" s="23"/>
      <c r="Q316" s="23"/>
      <c r="S316" s="24"/>
      <c r="T316" s="25"/>
      <c r="U316" s="24"/>
      <c r="V316" s="23"/>
      <c r="W316" s="25"/>
      <c r="X316" s="24"/>
      <c r="Y316" s="69"/>
      <c r="Z316" s="23"/>
      <c r="AA316" s="23"/>
      <c r="AB316" s="24"/>
      <c r="AC316" s="23"/>
      <c r="AD316" s="22"/>
    </row>
    <row r="317" spans="1:30" x14ac:dyDescent="0.25">
      <c r="A317" s="6" t="s">
        <v>219</v>
      </c>
      <c r="D317" s="6" t="s">
        <v>111</v>
      </c>
      <c r="E317" s="6">
        <f>+E316-E315</f>
        <v>217</v>
      </c>
      <c r="F317" s="6">
        <f>+F316-F315</f>
        <v>247</v>
      </c>
      <c r="G317" s="6">
        <f>+G316-G315</f>
        <v>249</v>
      </c>
      <c r="H317" s="6">
        <f>+H316-H315</f>
        <v>218</v>
      </c>
      <c r="I317" s="6">
        <f>+I316-I315</f>
        <v>249</v>
      </c>
      <c r="J317" s="6">
        <f>SUM(E317:I317)</f>
        <v>1180</v>
      </c>
      <c r="N317" s="23"/>
      <c r="O317" s="23"/>
      <c r="P317" s="23"/>
      <c r="Q317" s="23"/>
      <c r="S317" s="24"/>
      <c r="T317" s="25"/>
      <c r="U317" s="24"/>
      <c r="V317" s="23"/>
      <c r="W317" s="25"/>
      <c r="X317" s="24"/>
      <c r="Y317" s="69"/>
      <c r="Z317" s="23"/>
      <c r="AA317" s="23"/>
      <c r="AB317" s="24"/>
      <c r="AC317" s="23"/>
      <c r="AD317" s="22"/>
    </row>
    <row r="318" spans="1:30" x14ac:dyDescent="0.25">
      <c r="D318" s="6" t="s">
        <v>112</v>
      </c>
      <c r="J318" s="6">
        <v>8804</v>
      </c>
      <c r="L318" s="6" t="s">
        <v>280</v>
      </c>
      <c r="N318" s="23">
        <v>0.24</v>
      </c>
      <c r="O318" s="39">
        <v>25</v>
      </c>
      <c r="P318" s="23">
        <v>3.7999999999999999E-2</v>
      </c>
      <c r="Q318" s="23">
        <v>4.8499999999999996</v>
      </c>
      <c r="S318" s="24">
        <f>+J317*100</f>
        <v>118000</v>
      </c>
      <c r="T318" s="25">
        <f>+O318*1.02843*S318/1000000</f>
        <v>3.0338684999999996</v>
      </c>
      <c r="U318" s="135">
        <f>+T318/J319</f>
        <v>2.9203487051340294E-3</v>
      </c>
      <c r="V318" s="131">
        <v>1.4E-3</v>
      </c>
      <c r="W318" s="25" t="s">
        <v>113</v>
      </c>
      <c r="X318" s="126">
        <f>(+N318)*(2*0.95*10000)/J318</f>
        <v>0.51794638800545212</v>
      </c>
      <c r="Y318" s="127">
        <v>0.35</v>
      </c>
      <c r="Z318" s="23">
        <f>+J317*100</f>
        <v>118000</v>
      </c>
      <c r="AA318" s="23">
        <f>+P318*Z318/1000000</f>
        <v>4.4840000000000001E-3</v>
      </c>
      <c r="AB318" s="71">
        <f>+AA318/J319*1000000</f>
        <v>4.316219900045434</v>
      </c>
      <c r="AC318" s="23" t="s">
        <v>113</v>
      </c>
      <c r="AD318" s="142">
        <v>5.62</v>
      </c>
    </row>
    <row r="319" spans="1:30" x14ac:dyDescent="0.25">
      <c r="D319" s="6" t="s">
        <v>114</v>
      </c>
      <c r="J319" s="6">
        <f>+(J317*100*J318)/1000000</f>
        <v>1038.8720000000001</v>
      </c>
      <c r="N319" s="23"/>
      <c r="O319" s="23"/>
      <c r="P319" s="23"/>
      <c r="Q319" s="23"/>
      <c r="S319" s="24"/>
      <c r="T319" s="25"/>
      <c r="U319" s="24"/>
      <c r="V319" s="23"/>
      <c r="W319" s="25"/>
      <c r="X319" s="24"/>
      <c r="Y319" s="69"/>
      <c r="Z319" s="23"/>
      <c r="AA319" s="23"/>
      <c r="AB319" s="24"/>
      <c r="AC319" s="23"/>
      <c r="AD319" s="22"/>
    </row>
    <row r="320" spans="1:30" x14ac:dyDescent="0.25">
      <c r="D320" s="6" t="s">
        <v>115</v>
      </c>
      <c r="J320" s="6">
        <f>+(J317*100*J318)/1000000/30*60</f>
        <v>2077.7440000000001</v>
      </c>
      <c r="K320" s="41" t="s">
        <v>113</v>
      </c>
      <c r="N320" s="23"/>
      <c r="O320" s="23"/>
      <c r="P320" s="23"/>
      <c r="Q320" s="23"/>
      <c r="S320" s="24"/>
      <c r="T320" s="25"/>
      <c r="U320" s="24"/>
      <c r="V320" s="23"/>
      <c r="W320" s="25"/>
      <c r="X320" s="24"/>
      <c r="Y320" s="69"/>
      <c r="Z320" s="23"/>
      <c r="AA320" s="23"/>
      <c r="AB320" s="24"/>
      <c r="AC320" s="23"/>
      <c r="AD320" s="22"/>
    </row>
    <row r="321" spans="1:30" x14ac:dyDescent="0.25">
      <c r="S321" s="67"/>
      <c r="T321" s="22"/>
      <c r="U321" s="67"/>
      <c r="W321" s="22"/>
      <c r="X321" s="67"/>
      <c r="Y321" s="22"/>
      <c r="AB321" s="67"/>
      <c r="AD321" s="22"/>
    </row>
    <row r="322" spans="1:30" x14ac:dyDescent="0.25">
      <c r="A322" s="6" t="s">
        <v>224</v>
      </c>
      <c r="D322" s="6" t="s">
        <v>80</v>
      </c>
      <c r="N322" s="23"/>
      <c r="O322" s="23"/>
      <c r="P322" s="23"/>
      <c r="Q322" s="23"/>
      <c r="S322" s="24"/>
      <c r="T322" s="25"/>
      <c r="U322" s="24"/>
      <c r="V322" s="23"/>
      <c r="W322" s="25"/>
      <c r="X322" s="24"/>
      <c r="Y322" s="69"/>
      <c r="Z322" s="23"/>
      <c r="AA322" s="23"/>
      <c r="AB322" s="24"/>
      <c r="AC322" s="23"/>
      <c r="AD322" s="22"/>
    </row>
    <row r="323" spans="1:30" x14ac:dyDescent="0.25">
      <c r="A323" s="41">
        <v>1630</v>
      </c>
      <c r="B323" s="41">
        <v>1700</v>
      </c>
      <c r="D323" s="6">
        <v>195</v>
      </c>
      <c r="E323" s="6">
        <v>360831</v>
      </c>
      <c r="F323" s="6">
        <v>577890</v>
      </c>
      <c r="G323" s="6">
        <v>1103</v>
      </c>
      <c r="H323" s="6">
        <v>533322</v>
      </c>
      <c r="I323" s="6">
        <v>545194</v>
      </c>
      <c r="N323" s="23"/>
      <c r="O323" s="23"/>
      <c r="P323" s="23"/>
      <c r="Q323" s="23"/>
      <c r="S323" s="24"/>
      <c r="T323" s="25"/>
      <c r="U323" s="24"/>
      <c r="V323" s="23"/>
      <c r="W323" s="25"/>
      <c r="X323" s="24"/>
      <c r="Y323" s="69"/>
      <c r="Z323" s="23"/>
      <c r="AA323" s="23"/>
      <c r="AB323" s="24"/>
      <c r="AC323" s="23"/>
      <c r="AD323" s="22"/>
    </row>
    <row r="324" spans="1:30" x14ac:dyDescent="0.25">
      <c r="A324" s="6" t="s">
        <v>225</v>
      </c>
      <c r="E324" s="6">
        <v>361073</v>
      </c>
      <c r="F324" s="6">
        <v>578165</v>
      </c>
      <c r="G324" s="6">
        <v>1378</v>
      </c>
      <c r="H324" s="6">
        <v>533563</v>
      </c>
      <c r="I324" s="6">
        <v>545469</v>
      </c>
      <c r="N324" s="23"/>
      <c r="O324" s="23"/>
      <c r="P324" s="23"/>
      <c r="Q324" s="23"/>
      <c r="S324" s="24"/>
      <c r="T324" s="25"/>
      <c r="U324" s="24"/>
      <c r="V324" s="23"/>
      <c r="W324" s="25"/>
      <c r="X324" s="24"/>
      <c r="Y324" s="69"/>
      <c r="Z324" s="23"/>
      <c r="AA324" s="23"/>
      <c r="AB324" s="24"/>
      <c r="AC324" s="23"/>
      <c r="AD324" s="22"/>
    </row>
    <row r="325" spans="1:30" x14ac:dyDescent="0.25">
      <c r="A325" s="6" t="s">
        <v>219</v>
      </c>
      <c r="D325" s="6" t="s">
        <v>111</v>
      </c>
      <c r="E325" s="6">
        <f>+E324-E323</f>
        <v>242</v>
      </c>
      <c r="F325" s="6">
        <f>+F324-F323</f>
        <v>275</v>
      </c>
      <c r="G325" s="6">
        <f>+G324-G323</f>
        <v>275</v>
      </c>
      <c r="H325" s="6">
        <f>+H324-H323</f>
        <v>241</v>
      </c>
      <c r="I325" s="6">
        <f>+I324-I323</f>
        <v>275</v>
      </c>
      <c r="J325" s="6">
        <f>SUM(E325:I325)</f>
        <v>1308</v>
      </c>
      <c r="N325" s="23"/>
      <c r="O325" s="23"/>
      <c r="P325" s="23"/>
      <c r="Q325" s="23"/>
      <c r="S325" s="24"/>
      <c r="T325" s="25"/>
      <c r="U325" s="24"/>
      <c r="V325" s="23"/>
      <c r="W325" s="25"/>
      <c r="X325" s="24"/>
      <c r="Y325" s="69"/>
      <c r="Z325" s="23"/>
      <c r="AA325" s="23"/>
      <c r="AB325" s="24"/>
      <c r="AC325" s="23"/>
      <c r="AD325" s="22"/>
    </row>
    <row r="326" spans="1:30" x14ac:dyDescent="0.25">
      <c r="D326" s="6" t="s">
        <v>112</v>
      </c>
      <c r="J326" s="6">
        <v>8804</v>
      </c>
      <c r="L326" s="6" t="s">
        <v>280</v>
      </c>
      <c r="N326" s="23">
        <v>0.24</v>
      </c>
      <c r="O326" s="39">
        <v>25</v>
      </c>
      <c r="P326" s="23">
        <v>3.7999999999999999E-2</v>
      </c>
      <c r="Q326" s="23">
        <v>4.8499999999999996</v>
      </c>
      <c r="S326" s="24">
        <f>+J325*100</f>
        <v>130800</v>
      </c>
      <c r="T326" s="25">
        <f>+O326*1.02843*S326/1000000</f>
        <v>3.3629660999999995</v>
      </c>
      <c r="U326" s="135">
        <f>+T326/J327</f>
        <v>2.9203487051340294E-3</v>
      </c>
      <c r="V326" s="139">
        <v>2.5000000000000001E-3</v>
      </c>
      <c r="W326" s="25" t="s">
        <v>113</v>
      </c>
      <c r="X326" s="126">
        <f>(+N326)*(2*0.95*10000)/J326</f>
        <v>0.51794638800545212</v>
      </c>
      <c r="Y326" s="127">
        <v>0.43</v>
      </c>
      <c r="Z326" s="23">
        <f>+J325*100</f>
        <v>130800</v>
      </c>
      <c r="AA326" s="23">
        <f>+P326*Z326/1000000</f>
        <v>4.9703999999999998E-3</v>
      </c>
      <c r="AB326" s="71">
        <f>+AA326/J327*1000000</f>
        <v>4.3162199000454331</v>
      </c>
      <c r="AC326" s="23" t="s">
        <v>113</v>
      </c>
      <c r="AD326" s="142">
        <v>5.4</v>
      </c>
    </row>
    <row r="327" spans="1:30" x14ac:dyDescent="0.25">
      <c r="D327" s="6" t="s">
        <v>114</v>
      </c>
      <c r="J327" s="6">
        <f>+(J325*100*J326)/1000000</f>
        <v>1151.5632000000001</v>
      </c>
      <c r="N327" s="23"/>
      <c r="O327" s="23"/>
      <c r="P327" s="23"/>
      <c r="Q327" s="23"/>
      <c r="S327" s="24"/>
      <c r="T327" s="25"/>
      <c r="U327" s="24"/>
      <c r="V327" s="23"/>
      <c r="W327" s="25"/>
      <c r="X327" s="24"/>
      <c r="Y327" s="69"/>
      <c r="Z327" s="23"/>
      <c r="AA327" s="23"/>
      <c r="AB327" s="24"/>
      <c r="AC327" s="23"/>
      <c r="AD327" s="22"/>
    </row>
    <row r="328" spans="1:30" x14ac:dyDescent="0.25">
      <c r="D328" s="6" t="s">
        <v>115</v>
      </c>
      <c r="J328" s="6">
        <f>+(J325*100*J326)/1000000/30*60</f>
        <v>2303.1264000000001</v>
      </c>
      <c r="K328" s="41" t="s">
        <v>113</v>
      </c>
      <c r="N328" s="23"/>
      <c r="O328" s="23"/>
      <c r="P328" s="23"/>
      <c r="Q328" s="23"/>
      <c r="S328" s="24"/>
      <c r="T328" s="25"/>
      <c r="U328" s="24"/>
      <c r="V328" s="23"/>
      <c r="W328" s="25"/>
      <c r="X328" s="24"/>
      <c r="Y328" s="69"/>
      <c r="Z328" s="23"/>
      <c r="AA328" s="23"/>
      <c r="AB328" s="24"/>
      <c r="AC328" s="23"/>
      <c r="AD328" s="22"/>
    </row>
    <row r="329" spans="1:30" x14ac:dyDescent="0.25">
      <c r="S329" s="67"/>
      <c r="T329" s="22"/>
      <c r="U329" s="67"/>
      <c r="W329" s="22"/>
      <c r="X329" s="67"/>
      <c r="Y329" s="22"/>
      <c r="AB329" s="67"/>
      <c r="AD329" s="22"/>
    </row>
    <row r="330" spans="1:30" ht="21" x14ac:dyDescent="0.35">
      <c r="A330" s="15" t="s">
        <v>315</v>
      </c>
      <c r="S330" s="67"/>
      <c r="T330" s="22"/>
      <c r="U330" s="67"/>
      <c r="W330" s="22"/>
      <c r="X330" s="67"/>
      <c r="Y330" s="22"/>
      <c r="AB330" s="67"/>
      <c r="AD330" s="22"/>
    </row>
    <row r="331" spans="1:30" x14ac:dyDescent="0.25">
      <c r="A331" s="6" t="s">
        <v>226</v>
      </c>
      <c r="D331" s="6" t="s">
        <v>80</v>
      </c>
      <c r="N331" s="23"/>
      <c r="O331" s="23"/>
      <c r="P331" s="23"/>
      <c r="Q331" s="23"/>
      <c r="S331" s="24"/>
      <c r="T331" s="25"/>
      <c r="U331" s="24"/>
      <c r="V331" s="23"/>
      <c r="W331" s="25"/>
      <c r="X331" s="24"/>
      <c r="Y331" s="69"/>
      <c r="Z331" s="23"/>
      <c r="AA331" s="23"/>
      <c r="AB331" s="24"/>
      <c r="AC331" s="23"/>
      <c r="AD331" s="22"/>
    </row>
    <row r="332" spans="1:30" x14ac:dyDescent="0.25">
      <c r="A332" s="41">
        <v>1522</v>
      </c>
      <c r="B332" s="41">
        <v>1700</v>
      </c>
      <c r="D332" s="6">
        <v>195</v>
      </c>
      <c r="E332" s="6">
        <v>363945</v>
      </c>
      <c r="F332" s="6">
        <v>583507</v>
      </c>
      <c r="G332" s="6">
        <v>8557</v>
      </c>
      <c r="H332" s="6">
        <v>540630</v>
      </c>
      <c r="I332" s="6">
        <v>552659</v>
      </c>
      <c r="N332" s="23"/>
      <c r="O332" s="23"/>
      <c r="P332" s="23"/>
      <c r="Q332" s="23"/>
      <c r="S332" s="24"/>
      <c r="T332" s="25"/>
      <c r="U332" s="24"/>
      <c r="V332" s="23"/>
      <c r="W332" s="25"/>
      <c r="X332" s="24"/>
      <c r="Y332" s="69"/>
      <c r="Z332" s="23"/>
      <c r="AA332" s="23"/>
      <c r="AB332" s="24"/>
      <c r="AC332" s="23"/>
      <c r="AD332" s="22"/>
    </row>
    <row r="333" spans="1:30" x14ac:dyDescent="0.25">
      <c r="A333" s="6" t="s">
        <v>227</v>
      </c>
      <c r="E333" s="6">
        <v>364674</v>
      </c>
      <c r="F333" s="6">
        <v>584235</v>
      </c>
      <c r="G333" s="6">
        <v>9284</v>
      </c>
      <c r="H333" s="6">
        <v>541358</v>
      </c>
      <c r="I333" s="6">
        <v>553390</v>
      </c>
      <c r="N333" s="23"/>
      <c r="O333" s="23"/>
      <c r="P333" s="23"/>
      <c r="Q333" s="23"/>
      <c r="S333" s="24"/>
      <c r="T333" s="25"/>
      <c r="U333" s="24"/>
      <c r="V333" s="23"/>
      <c r="W333" s="25"/>
      <c r="X333" s="24"/>
      <c r="Y333" s="69"/>
      <c r="Z333" s="23"/>
      <c r="AA333" s="23"/>
      <c r="AB333" s="24"/>
      <c r="AC333" s="23"/>
      <c r="AD333" s="22"/>
    </row>
    <row r="334" spans="1:30" x14ac:dyDescent="0.25">
      <c r="A334" s="6" t="s">
        <v>219</v>
      </c>
      <c r="D334" s="6" t="s">
        <v>111</v>
      </c>
      <c r="E334" s="6">
        <f>+E333-E332</f>
        <v>729</v>
      </c>
      <c r="F334" s="6">
        <f>+F333-F332</f>
        <v>728</v>
      </c>
      <c r="G334" s="6">
        <f>+G333-G332</f>
        <v>727</v>
      </c>
      <c r="H334" s="6">
        <f>+H333-H332</f>
        <v>728</v>
      </c>
      <c r="I334" s="6">
        <f>+I333-I332</f>
        <v>731</v>
      </c>
      <c r="J334" s="6">
        <f>SUM(E334:I334)</f>
        <v>3643</v>
      </c>
      <c r="N334" s="23"/>
      <c r="O334" s="23"/>
      <c r="P334" s="23"/>
      <c r="Q334" s="23"/>
      <c r="S334" s="24"/>
      <c r="T334" s="25"/>
      <c r="U334" s="24"/>
      <c r="V334" s="23"/>
      <c r="W334" s="25"/>
      <c r="X334" s="24"/>
      <c r="Y334" s="69"/>
      <c r="Z334" s="23"/>
      <c r="AA334" s="23"/>
      <c r="AB334" s="24"/>
      <c r="AC334" s="23"/>
      <c r="AD334" s="22"/>
    </row>
    <row r="335" spans="1:30" x14ac:dyDescent="0.25">
      <c r="D335" s="6" t="s">
        <v>112</v>
      </c>
      <c r="J335" s="6">
        <v>8550</v>
      </c>
      <c r="L335" s="6" t="s">
        <v>281</v>
      </c>
      <c r="N335" s="23">
        <v>0.24</v>
      </c>
      <c r="O335" s="39">
        <v>25</v>
      </c>
      <c r="P335" s="23">
        <v>4.4999999999999998E-2</v>
      </c>
      <c r="Q335" s="23">
        <v>5.78</v>
      </c>
      <c r="S335" s="24">
        <f>+J334*100</f>
        <v>364300</v>
      </c>
      <c r="T335" s="25">
        <f>+O335*1.02843*S335/1000000</f>
        <v>9.3664262249999997</v>
      </c>
      <c r="U335" s="135">
        <f>+T335/J336</f>
        <v>3.0071052631578947E-3</v>
      </c>
      <c r="V335" s="139">
        <v>6.1000000000000004E-3</v>
      </c>
      <c r="W335" s="25" t="s">
        <v>113</v>
      </c>
      <c r="X335" s="150">
        <f>(+N335)*(2*0.95*10000)/J335</f>
        <v>0.53333333333333333</v>
      </c>
      <c r="Y335" s="151">
        <v>0.5</v>
      </c>
      <c r="Z335" s="23">
        <f>+J334*100</f>
        <v>364300</v>
      </c>
      <c r="AA335" s="23">
        <f>+P335*Z335/1000000</f>
        <v>1.6393499999999998E-2</v>
      </c>
      <c r="AB335" s="71">
        <f>+AA335/J336*1000000</f>
        <v>5.2631578947368416</v>
      </c>
      <c r="AC335" s="23" t="s">
        <v>113</v>
      </c>
      <c r="AD335" s="142">
        <v>1.44</v>
      </c>
    </row>
    <row r="336" spans="1:30" x14ac:dyDescent="0.25">
      <c r="D336" s="6" t="s">
        <v>114</v>
      </c>
      <c r="J336" s="6">
        <f>+(J334*100*J335)/1000000</f>
        <v>3114.7649999999999</v>
      </c>
      <c r="N336" s="23"/>
      <c r="O336" s="23"/>
      <c r="P336" s="23"/>
      <c r="Q336" s="23"/>
      <c r="S336" s="24"/>
      <c r="T336" s="25"/>
      <c r="U336" s="24"/>
      <c r="V336" s="23"/>
      <c r="W336" s="25"/>
      <c r="X336" s="24"/>
      <c r="Y336" s="69"/>
      <c r="Z336" s="23"/>
      <c r="AA336" s="23"/>
      <c r="AB336" s="24"/>
      <c r="AC336" s="23"/>
      <c r="AD336" s="22"/>
    </row>
    <row r="337" spans="1:30" x14ac:dyDescent="0.25">
      <c r="D337" s="6" t="s">
        <v>115</v>
      </c>
      <c r="J337" s="6">
        <f>+(J334*100*J335)/1000000/98*60</f>
        <v>1906.9989795918366</v>
      </c>
      <c r="K337" s="41" t="s">
        <v>113</v>
      </c>
      <c r="N337" s="23"/>
      <c r="O337" s="23"/>
      <c r="P337" s="23"/>
      <c r="Q337" s="23"/>
      <c r="S337" s="24"/>
      <c r="T337" s="25"/>
      <c r="U337" s="24"/>
      <c r="V337" s="23"/>
      <c r="W337" s="25"/>
      <c r="X337" s="24"/>
      <c r="Y337" s="69"/>
      <c r="Z337" s="23"/>
      <c r="AA337" s="23"/>
      <c r="AB337" s="24"/>
      <c r="AC337" s="23"/>
      <c r="AD337" s="22"/>
    </row>
    <row r="338" spans="1:30" x14ac:dyDescent="0.25">
      <c r="S338" s="67"/>
      <c r="T338" s="22"/>
      <c r="U338" s="67"/>
      <c r="W338" s="22"/>
      <c r="X338" s="67"/>
      <c r="Y338" s="22"/>
      <c r="AB338" s="67"/>
      <c r="AD338" s="22"/>
    </row>
    <row r="339" spans="1:30" x14ac:dyDescent="0.25">
      <c r="A339" s="6" t="s">
        <v>228</v>
      </c>
      <c r="D339" s="6" t="s">
        <v>80</v>
      </c>
      <c r="N339" s="23"/>
      <c r="O339" s="23"/>
      <c r="P339" s="23"/>
      <c r="Q339" s="23"/>
      <c r="S339" s="24"/>
      <c r="T339" s="25"/>
      <c r="U339" s="24"/>
      <c r="V339" s="23"/>
      <c r="W339" s="25"/>
      <c r="X339" s="24"/>
      <c r="Y339" s="69"/>
      <c r="Z339" s="23"/>
      <c r="AA339" s="23"/>
      <c r="AB339" s="24"/>
      <c r="AC339" s="23"/>
      <c r="AD339" s="22"/>
    </row>
    <row r="340" spans="1:30" x14ac:dyDescent="0.25">
      <c r="A340" s="41">
        <v>1730</v>
      </c>
      <c r="B340" s="41">
        <v>1800</v>
      </c>
      <c r="D340" s="6">
        <v>195</v>
      </c>
      <c r="E340" s="6">
        <v>364913</v>
      </c>
      <c r="F340" s="6">
        <v>584473</v>
      </c>
      <c r="G340" s="6">
        <v>9521</v>
      </c>
      <c r="H340" s="6">
        <v>541594</v>
      </c>
      <c r="I340" s="6">
        <v>553626</v>
      </c>
      <c r="N340" s="23"/>
      <c r="O340" s="23"/>
      <c r="P340" s="23"/>
      <c r="Q340" s="23"/>
      <c r="S340" s="24"/>
      <c r="T340" s="25"/>
      <c r="U340" s="24"/>
      <c r="V340" s="23"/>
      <c r="W340" s="25"/>
      <c r="X340" s="24"/>
      <c r="Y340" s="69"/>
      <c r="Z340" s="23"/>
      <c r="AA340" s="23"/>
      <c r="AB340" s="24"/>
      <c r="AC340" s="23"/>
      <c r="AD340" s="22"/>
    </row>
    <row r="341" spans="1:30" x14ac:dyDescent="0.25">
      <c r="A341" s="6" t="s">
        <v>229</v>
      </c>
      <c r="E341" s="6">
        <v>365140</v>
      </c>
      <c r="F341" s="6">
        <v>584696</v>
      </c>
      <c r="G341" s="6">
        <v>9742</v>
      </c>
      <c r="H341" s="6">
        <v>541815</v>
      </c>
      <c r="I341" s="6">
        <v>553846</v>
      </c>
      <c r="N341" s="23"/>
      <c r="O341" s="23"/>
      <c r="P341" s="23"/>
      <c r="Q341" s="23"/>
      <c r="S341" s="24"/>
      <c r="T341" s="25"/>
      <c r="U341" s="24"/>
      <c r="V341" s="23"/>
      <c r="W341" s="25"/>
      <c r="X341" s="24"/>
      <c r="Y341" s="69"/>
      <c r="Z341" s="23"/>
      <c r="AA341" s="23"/>
      <c r="AB341" s="24"/>
      <c r="AC341" s="23"/>
      <c r="AD341" s="22"/>
    </row>
    <row r="342" spans="1:30" x14ac:dyDescent="0.25">
      <c r="A342" s="6" t="s">
        <v>219</v>
      </c>
      <c r="D342" s="6" t="s">
        <v>111</v>
      </c>
      <c r="E342" s="6">
        <f>+E341-E340</f>
        <v>227</v>
      </c>
      <c r="F342" s="6">
        <f>+F341-F340</f>
        <v>223</v>
      </c>
      <c r="G342" s="6">
        <f>+G341-G340</f>
        <v>221</v>
      </c>
      <c r="H342" s="6">
        <f>+H341-H340</f>
        <v>221</v>
      </c>
      <c r="I342" s="6">
        <f>+I341-I340</f>
        <v>220</v>
      </c>
      <c r="J342" s="6">
        <f>SUM(E342:I342)</f>
        <v>1112</v>
      </c>
      <c r="N342" s="23"/>
      <c r="O342" s="23"/>
      <c r="P342" s="23"/>
      <c r="Q342" s="23"/>
      <c r="S342" s="24"/>
      <c r="T342" s="25"/>
      <c r="U342" s="24"/>
      <c r="V342" s="23"/>
      <c r="W342" s="25"/>
      <c r="X342" s="24"/>
      <c r="Y342" s="69"/>
      <c r="Z342" s="23"/>
      <c r="AA342" s="23"/>
      <c r="AB342" s="24"/>
      <c r="AC342" s="23"/>
      <c r="AD342" s="22"/>
    </row>
    <row r="343" spans="1:30" x14ac:dyDescent="0.25">
      <c r="D343" s="6" t="s">
        <v>112</v>
      </c>
      <c r="J343" s="6">
        <v>8550</v>
      </c>
      <c r="L343" s="6" t="s">
        <v>281</v>
      </c>
      <c r="N343" s="23">
        <v>0.24</v>
      </c>
      <c r="O343" s="39">
        <v>25</v>
      </c>
      <c r="P343" s="23">
        <v>4.4999999999999998E-2</v>
      </c>
      <c r="Q343" s="23">
        <v>5.78</v>
      </c>
      <c r="S343" s="24">
        <f>+J342*100</f>
        <v>111200</v>
      </c>
      <c r="T343" s="25">
        <f>+O343*1.02843*S343/1000000</f>
        <v>2.8590353999999998</v>
      </c>
      <c r="U343" s="135">
        <f>+T343/J344</f>
        <v>3.0071052631578947E-3</v>
      </c>
      <c r="V343" s="23" t="s">
        <v>113</v>
      </c>
      <c r="W343" s="25" t="s">
        <v>113</v>
      </c>
      <c r="X343" s="150">
        <f>(+N343)*(2*0.95*10000)/J343</f>
        <v>0.53333333333333333</v>
      </c>
      <c r="Y343" s="151">
        <v>0.5</v>
      </c>
      <c r="Z343" s="23">
        <f>+J342*100</f>
        <v>111200</v>
      </c>
      <c r="AA343" s="23">
        <f>+P343*Z343/1000000</f>
        <v>5.0039999999999998E-3</v>
      </c>
      <c r="AB343" s="71">
        <f>+AA343/J344*1000000</f>
        <v>5.2631578947368425</v>
      </c>
      <c r="AC343" s="23" t="s">
        <v>113</v>
      </c>
      <c r="AD343" s="128">
        <v>0.98</v>
      </c>
    </row>
    <row r="344" spans="1:30" x14ac:dyDescent="0.25">
      <c r="D344" s="6" t="s">
        <v>114</v>
      </c>
      <c r="J344" s="6">
        <f>+(J342*100*J343)/1000000</f>
        <v>950.76</v>
      </c>
      <c r="N344" s="23"/>
      <c r="O344" s="23"/>
      <c r="P344" s="23"/>
      <c r="Q344" s="23"/>
      <c r="S344" s="24"/>
      <c r="T344" s="25"/>
      <c r="U344" s="24"/>
      <c r="V344" s="23"/>
      <c r="W344" s="25"/>
      <c r="X344" s="24"/>
      <c r="Y344" s="69"/>
      <c r="Z344" s="23"/>
      <c r="AA344" s="23"/>
      <c r="AB344" s="24"/>
      <c r="AC344" s="23"/>
      <c r="AD344" s="22"/>
    </row>
    <row r="345" spans="1:30" x14ac:dyDescent="0.25">
      <c r="D345" s="6" t="s">
        <v>115</v>
      </c>
      <c r="J345" s="6">
        <f>+(J342*100*J343)/1000000/30*60</f>
        <v>1901.52</v>
      </c>
      <c r="K345" s="41" t="s">
        <v>113</v>
      </c>
      <c r="N345" s="23"/>
      <c r="O345" s="23"/>
      <c r="P345" s="23"/>
      <c r="Q345" s="23"/>
      <c r="S345" s="24"/>
      <c r="T345" s="25"/>
      <c r="U345" s="24"/>
      <c r="V345" s="23"/>
      <c r="W345" s="25"/>
      <c r="X345" s="24"/>
      <c r="Y345" s="69"/>
      <c r="Z345" s="23"/>
      <c r="AA345" s="23"/>
      <c r="AB345" s="24"/>
      <c r="AC345" s="23"/>
      <c r="AD345" s="22"/>
    </row>
    <row r="346" spans="1:30" x14ac:dyDescent="0.25">
      <c r="S346" s="67"/>
      <c r="T346" s="22"/>
      <c r="U346" s="67"/>
      <c r="W346" s="22"/>
      <c r="X346" s="67"/>
      <c r="Y346" s="22"/>
      <c r="AB346" s="67"/>
      <c r="AD346" s="22"/>
    </row>
    <row r="347" spans="1:30" ht="21" x14ac:dyDescent="0.35">
      <c r="A347" s="15" t="s">
        <v>316</v>
      </c>
      <c r="S347" s="67"/>
      <c r="T347" s="22"/>
      <c r="U347" s="67"/>
      <c r="W347" s="22"/>
      <c r="X347" s="67"/>
      <c r="Y347" s="22"/>
      <c r="AB347" s="67"/>
      <c r="AD347" s="22"/>
    </row>
    <row r="348" spans="1:30" x14ac:dyDescent="0.25">
      <c r="A348" s="6" t="s">
        <v>230</v>
      </c>
      <c r="D348" s="6" t="s">
        <v>80</v>
      </c>
      <c r="N348" s="23"/>
      <c r="O348" s="23"/>
      <c r="P348" s="23"/>
      <c r="Q348" s="23"/>
      <c r="S348" s="24"/>
      <c r="T348" s="25"/>
      <c r="U348" s="24"/>
      <c r="V348" s="23"/>
      <c r="W348" s="25"/>
      <c r="X348" s="24"/>
      <c r="Y348" s="69"/>
      <c r="Z348" s="23"/>
      <c r="AA348" s="23"/>
      <c r="AB348" s="24"/>
      <c r="AC348" s="23"/>
      <c r="AD348" s="22"/>
    </row>
    <row r="349" spans="1:30" x14ac:dyDescent="0.25">
      <c r="A349" s="41">
        <v>904</v>
      </c>
      <c r="B349" s="41">
        <v>1010</v>
      </c>
      <c r="D349" s="6">
        <v>195</v>
      </c>
      <c r="E349" s="6">
        <v>366758</v>
      </c>
      <c r="F349" s="6">
        <v>587880</v>
      </c>
      <c r="G349" s="6">
        <v>14739</v>
      </c>
      <c r="H349" s="6">
        <v>546721</v>
      </c>
      <c r="I349" s="6">
        <v>558855</v>
      </c>
      <c r="N349" s="23"/>
      <c r="O349" s="23"/>
      <c r="P349" s="23"/>
      <c r="Q349" s="23"/>
      <c r="S349" s="24"/>
      <c r="T349" s="25"/>
      <c r="U349" s="24"/>
      <c r="V349" s="23"/>
      <c r="W349" s="25"/>
      <c r="X349" s="24"/>
      <c r="Y349" s="69"/>
      <c r="Z349" s="23"/>
      <c r="AA349" s="23"/>
      <c r="AB349" s="24"/>
      <c r="AC349" s="23"/>
      <c r="AD349" s="22"/>
    </row>
    <row r="350" spans="1:30" x14ac:dyDescent="0.25">
      <c r="A350" s="6" t="s">
        <v>231</v>
      </c>
      <c r="E350" s="6">
        <v>367252</v>
      </c>
      <c r="F350" s="6">
        <v>588375</v>
      </c>
      <c r="G350" s="6">
        <v>15233</v>
      </c>
      <c r="H350" s="6">
        <v>547180</v>
      </c>
      <c r="I350" s="6">
        <v>559350</v>
      </c>
      <c r="N350" s="23"/>
      <c r="O350" s="23"/>
      <c r="P350" s="23"/>
      <c r="Q350" s="23"/>
      <c r="S350" s="24"/>
      <c r="T350" s="25"/>
      <c r="U350" s="24"/>
      <c r="V350" s="23"/>
      <c r="W350" s="25"/>
      <c r="X350" s="24"/>
      <c r="Y350" s="69"/>
      <c r="Z350" s="23"/>
      <c r="AA350" s="23"/>
      <c r="AB350" s="24"/>
      <c r="AC350" s="23"/>
      <c r="AD350" s="22"/>
    </row>
    <row r="351" spans="1:30" x14ac:dyDescent="0.25">
      <c r="A351" s="6" t="s">
        <v>219</v>
      </c>
      <c r="D351" s="6" t="s">
        <v>111</v>
      </c>
      <c r="E351" s="6">
        <f>+E350-E349</f>
        <v>494</v>
      </c>
      <c r="F351" s="6">
        <f>+F350-F349</f>
        <v>495</v>
      </c>
      <c r="G351" s="6">
        <f>+G350-G349</f>
        <v>494</v>
      </c>
      <c r="H351" s="6">
        <f>+H350-H349</f>
        <v>459</v>
      </c>
      <c r="I351" s="6">
        <f>+I350-I349</f>
        <v>495</v>
      </c>
      <c r="J351" s="6">
        <f>SUM(E351:I351)</f>
        <v>2437</v>
      </c>
      <c r="N351" s="23"/>
      <c r="O351" s="23"/>
      <c r="P351" s="23"/>
      <c r="Q351" s="23"/>
      <c r="S351" s="24"/>
      <c r="T351" s="25"/>
      <c r="U351" s="24"/>
      <c r="V351" s="23"/>
      <c r="W351" s="25"/>
      <c r="X351" s="24"/>
      <c r="Y351" s="69"/>
      <c r="Z351" s="23"/>
      <c r="AA351" s="23"/>
      <c r="AB351" s="24"/>
      <c r="AC351" s="23"/>
      <c r="AD351" s="22"/>
    </row>
    <row r="352" spans="1:30" x14ac:dyDescent="0.25">
      <c r="D352" s="6" t="s">
        <v>112</v>
      </c>
      <c r="J352" s="6">
        <v>8470</v>
      </c>
      <c r="L352" s="6" t="s">
        <v>282</v>
      </c>
      <c r="N352" s="23">
        <v>0.25</v>
      </c>
      <c r="O352" s="23">
        <v>37</v>
      </c>
      <c r="P352" s="23">
        <v>4.1000000000000002E-2</v>
      </c>
      <c r="Q352" s="23">
        <v>6.71</v>
      </c>
      <c r="S352" s="24">
        <f>+J351*100</f>
        <v>243700</v>
      </c>
      <c r="T352" s="25">
        <f>+O352*1.02843*S352/1000000</f>
        <v>9.2732504670000004</v>
      </c>
      <c r="U352" s="135">
        <f>+T352/J353</f>
        <v>4.4925513577331756E-3</v>
      </c>
      <c r="V352" s="23" t="s">
        <v>113</v>
      </c>
      <c r="W352" s="25" t="s">
        <v>113</v>
      </c>
      <c r="X352" s="150">
        <f>(+N352)*(2*0.95*10000)/J352</f>
        <v>0.56080283353010629</v>
      </c>
      <c r="Y352" s="151">
        <v>0.54</v>
      </c>
      <c r="Z352" s="23">
        <f>+J351*100</f>
        <v>243700</v>
      </c>
      <c r="AA352" s="23">
        <f>+P352*Z352/1000000</f>
        <v>9.9917000000000009E-3</v>
      </c>
      <c r="AB352" s="71">
        <f>+AA352/J353*1000000</f>
        <v>4.8406139315230226</v>
      </c>
      <c r="AC352" s="23" t="s">
        <v>113</v>
      </c>
      <c r="AD352" s="142">
        <v>1.71</v>
      </c>
    </row>
    <row r="353" spans="1:30" x14ac:dyDescent="0.25">
      <c r="D353" s="6" t="s">
        <v>114</v>
      </c>
      <c r="J353" s="6">
        <f>+(J351*100*J352)/1000000</f>
        <v>2064.1390000000001</v>
      </c>
      <c r="N353" s="23"/>
      <c r="O353" s="23"/>
      <c r="P353" s="23"/>
      <c r="Q353" s="23"/>
      <c r="S353" s="24"/>
      <c r="T353" s="25"/>
      <c r="U353" s="24"/>
      <c r="V353" s="23"/>
      <c r="W353" s="25"/>
      <c r="X353" s="24"/>
      <c r="Y353" s="69"/>
      <c r="Z353" s="23"/>
      <c r="AA353" s="23"/>
      <c r="AB353" s="24"/>
      <c r="AC353" s="23"/>
      <c r="AD353" s="22"/>
    </row>
    <row r="354" spans="1:30" x14ac:dyDescent="0.25">
      <c r="D354" s="6" t="s">
        <v>115</v>
      </c>
      <c r="J354" s="6">
        <f>+(J351*100*J352)/1000000/66*60</f>
        <v>1876.49</v>
      </c>
      <c r="K354" s="41" t="s">
        <v>113</v>
      </c>
      <c r="N354" s="23"/>
      <c r="O354" s="23"/>
      <c r="P354" s="23"/>
      <c r="Q354" s="23"/>
      <c r="S354" s="24"/>
      <c r="T354" s="25"/>
      <c r="U354" s="24"/>
      <c r="V354" s="23"/>
      <c r="W354" s="25"/>
      <c r="X354" s="24"/>
      <c r="Y354" s="69"/>
      <c r="Z354" s="23"/>
      <c r="AA354" s="23"/>
      <c r="AB354" s="24"/>
      <c r="AC354" s="23"/>
      <c r="AD354" s="22"/>
    </row>
    <row r="355" spans="1:30" x14ac:dyDescent="0.25">
      <c r="S355" s="67"/>
      <c r="T355" s="22"/>
      <c r="U355" s="67"/>
      <c r="W355" s="22"/>
      <c r="X355" s="67"/>
      <c r="Y355" s="22"/>
      <c r="AB355" s="67"/>
      <c r="AD355" s="22"/>
    </row>
    <row r="356" spans="1:30" x14ac:dyDescent="0.25">
      <c r="A356" s="6" t="s">
        <v>232</v>
      </c>
      <c r="D356" s="6" t="s">
        <v>80</v>
      </c>
      <c r="N356" s="23"/>
      <c r="O356" s="23"/>
      <c r="P356" s="23"/>
      <c r="Q356" s="23"/>
      <c r="S356" s="24"/>
      <c r="T356" s="25"/>
      <c r="U356" s="24"/>
      <c r="V356" s="23"/>
      <c r="W356" s="25"/>
      <c r="X356" s="24"/>
      <c r="Y356" s="69"/>
      <c r="Z356" s="23"/>
      <c r="AA356" s="23"/>
      <c r="AB356" s="24"/>
      <c r="AC356" s="23"/>
      <c r="AD356" s="22"/>
    </row>
    <row r="357" spans="1:30" x14ac:dyDescent="0.25">
      <c r="A357" s="41">
        <v>1030</v>
      </c>
      <c r="B357" s="41">
        <v>1131</v>
      </c>
      <c r="D357" s="6">
        <v>195</v>
      </c>
      <c r="E357" s="6">
        <v>367419</v>
      </c>
      <c r="F357" s="6">
        <v>588540</v>
      </c>
      <c r="G357" s="6">
        <v>15398</v>
      </c>
      <c r="H357" s="6">
        <v>547332</v>
      </c>
      <c r="I357" s="6">
        <v>559513</v>
      </c>
      <c r="N357" s="23"/>
      <c r="O357" s="23"/>
      <c r="P357" s="23"/>
      <c r="Q357" s="23"/>
      <c r="S357" s="24"/>
      <c r="T357" s="25"/>
      <c r="U357" s="24"/>
      <c r="V357" s="23"/>
      <c r="W357" s="25"/>
      <c r="X357" s="24"/>
      <c r="Y357" s="69"/>
      <c r="Z357" s="23"/>
      <c r="AA357" s="23"/>
      <c r="AB357" s="24"/>
      <c r="AC357" s="23"/>
      <c r="AD357" s="22"/>
    </row>
    <row r="358" spans="1:30" x14ac:dyDescent="0.25">
      <c r="A358" s="6" t="s">
        <v>227</v>
      </c>
      <c r="E358" s="6">
        <v>367880</v>
      </c>
      <c r="F358" s="6">
        <v>589001</v>
      </c>
      <c r="G358" s="6">
        <v>15858</v>
      </c>
      <c r="H358" s="6">
        <v>547760</v>
      </c>
      <c r="I358" s="6">
        <v>559974</v>
      </c>
      <c r="N358" s="23"/>
      <c r="O358" s="23"/>
      <c r="P358" s="23"/>
      <c r="Q358" s="23"/>
      <c r="S358" s="24"/>
      <c r="T358" s="25"/>
      <c r="U358" s="24"/>
      <c r="V358" s="23"/>
      <c r="W358" s="25"/>
      <c r="X358" s="24"/>
      <c r="Y358" s="69"/>
      <c r="Z358" s="23"/>
      <c r="AA358" s="23"/>
      <c r="AB358" s="24"/>
      <c r="AC358" s="23"/>
      <c r="AD358" s="22"/>
    </row>
    <row r="359" spans="1:30" x14ac:dyDescent="0.25">
      <c r="A359" s="6" t="s">
        <v>219</v>
      </c>
      <c r="D359" s="6" t="s">
        <v>111</v>
      </c>
      <c r="E359" s="6">
        <f>+E358-E357</f>
        <v>461</v>
      </c>
      <c r="F359" s="6">
        <f>+F358-F357</f>
        <v>461</v>
      </c>
      <c r="G359" s="6">
        <f>+G358-G357</f>
        <v>460</v>
      </c>
      <c r="H359" s="6">
        <f>+H358-H357</f>
        <v>428</v>
      </c>
      <c r="I359" s="6">
        <f>+I358-I357</f>
        <v>461</v>
      </c>
      <c r="J359" s="6">
        <f>SUM(E359:I359)</f>
        <v>2271</v>
      </c>
      <c r="N359" s="23"/>
      <c r="O359" s="23"/>
      <c r="P359" s="23"/>
      <c r="Q359" s="23"/>
      <c r="S359" s="24"/>
      <c r="T359" s="25"/>
      <c r="U359" s="24"/>
      <c r="V359" s="23"/>
      <c r="W359" s="25"/>
      <c r="X359" s="24"/>
      <c r="Y359" s="69"/>
      <c r="Z359" s="23"/>
      <c r="AA359" s="23"/>
      <c r="AB359" s="24"/>
      <c r="AC359" s="23"/>
      <c r="AD359" s="22"/>
    </row>
    <row r="360" spans="1:30" x14ac:dyDescent="0.25">
      <c r="D360" s="6" t="s">
        <v>112</v>
      </c>
      <c r="J360" s="6">
        <v>8470</v>
      </c>
      <c r="L360" s="6" t="s">
        <v>282</v>
      </c>
      <c r="N360" s="23">
        <v>0.25</v>
      </c>
      <c r="O360" s="23">
        <v>37</v>
      </c>
      <c r="P360" s="23">
        <v>4.1000000000000002E-2</v>
      </c>
      <c r="Q360" s="23">
        <v>6.71</v>
      </c>
      <c r="S360" s="24">
        <f>+J359*100</f>
        <v>227100</v>
      </c>
      <c r="T360" s="25">
        <f>+O360*1.02843*S360/1000000</f>
        <v>8.6415887609999995</v>
      </c>
      <c r="U360" s="135">
        <f>+T360/J361</f>
        <v>4.4925513577331756E-3</v>
      </c>
      <c r="V360" s="139">
        <v>7.4000000000000003E-3</v>
      </c>
      <c r="W360" s="25" t="s">
        <v>113</v>
      </c>
      <c r="X360" s="150">
        <f>(+N360)*(2*0.95*10000)/J360</f>
        <v>0.56080283353010629</v>
      </c>
      <c r="Y360" s="151">
        <v>0.55000000000000004</v>
      </c>
      <c r="Z360" s="23">
        <f>+J359*100</f>
        <v>227100</v>
      </c>
      <c r="AA360" s="23">
        <f>+P360*Z360/1000000</f>
        <v>9.311100000000001E-3</v>
      </c>
      <c r="AB360" s="71">
        <f>+AA360/J361*1000000</f>
        <v>4.8406139315230234</v>
      </c>
      <c r="AC360" s="23" t="s">
        <v>113</v>
      </c>
      <c r="AD360" s="142">
        <v>1.65</v>
      </c>
    </row>
    <row r="361" spans="1:30" x14ac:dyDescent="0.25">
      <c r="D361" s="6" t="s">
        <v>114</v>
      </c>
      <c r="J361" s="6">
        <f>+(J359*100*J360)/1000000</f>
        <v>1923.537</v>
      </c>
      <c r="N361" s="23"/>
      <c r="O361" s="23"/>
      <c r="P361" s="23"/>
      <c r="Q361" s="23"/>
      <c r="S361" s="24"/>
      <c r="T361" s="25"/>
      <c r="U361" s="24"/>
      <c r="V361" s="23"/>
      <c r="W361" s="25"/>
      <c r="X361" s="24"/>
      <c r="Y361" s="69"/>
      <c r="Z361" s="23"/>
      <c r="AA361" s="23"/>
      <c r="AB361" s="24"/>
      <c r="AC361" s="23"/>
      <c r="AD361" s="22"/>
    </row>
    <row r="362" spans="1:30" x14ac:dyDescent="0.25">
      <c r="D362" s="6" t="s">
        <v>115</v>
      </c>
      <c r="J362" s="6">
        <f>+(J359*100*J360)/1000000/61*60</f>
        <v>1892.0036065573772</v>
      </c>
      <c r="K362" s="41" t="s">
        <v>113</v>
      </c>
      <c r="N362" s="23"/>
      <c r="O362" s="23"/>
      <c r="P362" s="23"/>
      <c r="Q362" s="23"/>
      <c r="S362" s="24"/>
      <c r="T362" s="25"/>
      <c r="U362" s="24"/>
      <c r="V362" s="23"/>
      <c r="W362" s="25"/>
      <c r="X362" s="24"/>
      <c r="Y362" s="69"/>
      <c r="Z362" s="23"/>
      <c r="AA362" s="23"/>
      <c r="AB362" s="24"/>
      <c r="AC362" s="23"/>
      <c r="AD362" s="22"/>
    </row>
    <row r="363" spans="1:30" x14ac:dyDescent="0.25">
      <c r="S363" s="67"/>
      <c r="T363" s="22"/>
      <c r="U363" s="67"/>
      <c r="W363" s="22"/>
      <c r="X363" s="67"/>
      <c r="Y363" s="22"/>
      <c r="AB363" s="67"/>
      <c r="AD363" s="22"/>
    </row>
    <row r="364" spans="1:30" x14ac:dyDescent="0.25">
      <c r="A364" s="6" t="s">
        <v>233</v>
      </c>
      <c r="D364" s="6" t="s">
        <v>80</v>
      </c>
      <c r="N364" s="23"/>
      <c r="O364" s="23"/>
      <c r="P364" s="23"/>
      <c r="Q364" s="23"/>
      <c r="S364" s="24"/>
      <c r="T364" s="25"/>
      <c r="U364" s="24"/>
      <c r="V364" s="23"/>
      <c r="W364" s="25"/>
      <c r="X364" s="24"/>
      <c r="Y364" s="69"/>
      <c r="Z364" s="23"/>
      <c r="AA364" s="23"/>
      <c r="AB364" s="24"/>
      <c r="AC364" s="23"/>
      <c r="AD364" s="22"/>
    </row>
    <row r="365" spans="1:30" x14ac:dyDescent="0.25">
      <c r="A365" s="41">
        <v>1230</v>
      </c>
      <c r="B365" s="41">
        <v>1352</v>
      </c>
      <c r="D365" s="6">
        <v>195</v>
      </c>
      <c r="E365" s="6">
        <v>368318</v>
      </c>
      <c r="F365" s="6">
        <v>589398</v>
      </c>
      <c r="G365" s="6">
        <v>16260</v>
      </c>
      <c r="H365" s="6">
        <v>548169</v>
      </c>
      <c r="I365" s="6">
        <v>560416</v>
      </c>
      <c r="N365" s="23"/>
      <c r="O365" s="23"/>
      <c r="P365" s="23"/>
      <c r="Q365" s="23"/>
      <c r="S365" s="24"/>
      <c r="T365" s="25"/>
      <c r="U365" s="24"/>
      <c r="V365" s="23"/>
      <c r="W365" s="25"/>
      <c r="X365" s="24"/>
      <c r="Y365" s="69"/>
      <c r="Z365" s="23"/>
      <c r="AA365" s="23"/>
      <c r="AB365" s="24"/>
      <c r="AC365" s="23"/>
      <c r="AD365" s="22"/>
    </row>
    <row r="366" spans="1:30" x14ac:dyDescent="0.25">
      <c r="A366" s="6" t="s">
        <v>234</v>
      </c>
      <c r="E366" s="6">
        <v>368928</v>
      </c>
      <c r="F366" s="6">
        <v>589999</v>
      </c>
      <c r="G366" s="6">
        <v>16859</v>
      </c>
      <c r="H366" s="6">
        <v>548777</v>
      </c>
      <c r="I366" s="6">
        <v>561029</v>
      </c>
      <c r="N366" s="23"/>
      <c r="O366" s="23"/>
      <c r="P366" s="23"/>
      <c r="Q366" s="23"/>
      <c r="S366" s="24"/>
      <c r="T366" s="25"/>
      <c r="U366" s="24"/>
      <c r="V366" s="23"/>
      <c r="W366" s="25"/>
      <c r="X366" s="24"/>
      <c r="Y366" s="69"/>
      <c r="Z366" s="23"/>
      <c r="AA366" s="23"/>
      <c r="AB366" s="24"/>
      <c r="AC366" s="23"/>
      <c r="AD366" s="22"/>
    </row>
    <row r="367" spans="1:30" x14ac:dyDescent="0.25">
      <c r="A367" s="6" t="s">
        <v>219</v>
      </c>
      <c r="D367" s="6" t="s">
        <v>111</v>
      </c>
      <c r="E367" s="6">
        <f>+E366-E365</f>
        <v>610</v>
      </c>
      <c r="F367" s="6">
        <f>+F366-F365</f>
        <v>601</v>
      </c>
      <c r="G367" s="6">
        <f>+G366-G365</f>
        <v>599</v>
      </c>
      <c r="H367" s="6">
        <f>+H366-H365</f>
        <v>608</v>
      </c>
      <c r="I367" s="6">
        <f>+I366-I365</f>
        <v>613</v>
      </c>
      <c r="J367" s="6">
        <f>SUM(E367:I367)</f>
        <v>3031</v>
      </c>
      <c r="N367" s="23"/>
      <c r="O367" s="23"/>
      <c r="P367" s="23"/>
      <c r="Q367" s="23"/>
      <c r="S367" s="24"/>
      <c r="T367" s="25"/>
      <c r="U367" s="24"/>
      <c r="V367" s="23"/>
      <c r="W367" s="25"/>
      <c r="X367" s="24"/>
      <c r="Y367" s="69"/>
      <c r="Z367" s="23"/>
      <c r="AA367" s="23"/>
      <c r="AB367" s="24"/>
      <c r="AC367" s="23"/>
      <c r="AD367" s="22"/>
    </row>
    <row r="368" spans="1:30" x14ac:dyDescent="0.25">
      <c r="D368" s="6" t="s">
        <v>112</v>
      </c>
      <c r="J368" s="6">
        <v>8470</v>
      </c>
      <c r="L368" s="6" t="s">
        <v>282</v>
      </c>
      <c r="N368" s="23">
        <v>0.25</v>
      </c>
      <c r="O368" s="23">
        <v>37</v>
      </c>
      <c r="P368" s="23">
        <v>4.1000000000000002E-2</v>
      </c>
      <c r="Q368" s="23">
        <v>6.71</v>
      </c>
      <c r="S368" s="24">
        <f>+J367*100</f>
        <v>303100</v>
      </c>
      <c r="T368" s="25">
        <f>+O368*1.02843*S368/1000000</f>
        <v>11.533533921</v>
      </c>
      <c r="U368" s="135">
        <f>+T368/J369</f>
        <v>4.4925513577331756E-3</v>
      </c>
      <c r="V368" s="139">
        <v>7.4999999999999997E-3</v>
      </c>
      <c r="W368" s="25" t="s">
        <v>113</v>
      </c>
      <c r="X368" s="150">
        <f>(+N368)*(2*0.95*10000)/J368</f>
        <v>0.56080283353010629</v>
      </c>
      <c r="Y368" s="151">
        <v>0.55000000000000004</v>
      </c>
      <c r="Z368" s="23">
        <f>+J367*100</f>
        <v>303100</v>
      </c>
      <c r="AA368" s="23">
        <f>+P368*Z368/1000000</f>
        <v>1.24271E-2</v>
      </c>
      <c r="AB368" s="71">
        <f>+AA368/J369*1000000</f>
        <v>4.8406139315230226</v>
      </c>
      <c r="AC368" s="23" t="s">
        <v>113</v>
      </c>
      <c r="AD368" s="142">
        <v>1.63</v>
      </c>
    </row>
    <row r="369" spans="1:30" x14ac:dyDescent="0.25">
      <c r="D369" s="6" t="s">
        <v>114</v>
      </c>
      <c r="J369" s="6">
        <f>+(J367*100*J368)/1000000</f>
        <v>2567.2570000000001</v>
      </c>
      <c r="N369" s="23"/>
      <c r="O369" s="23"/>
      <c r="P369" s="23"/>
      <c r="Q369" s="23"/>
      <c r="S369" s="24"/>
      <c r="T369" s="25"/>
      <c r="U369" s="24"/>
      <c r="V369" s="23"/>
      <c r="W369" s="25"/>
      <c r="X369" s="24"/>
      <c r="Y369" s="69"/>
      <c r="Z369" s="23"/>
      <c r="AA369" s="23"/>
      <c r="AB369" s="24"/>
      <c r="AC369" s="23"/>
      <c r="AD369" s="22"/>
    </row>
    <row r="370" spans="1:30" x14ac:dyDescent="0.25">
      <c r="D370" s="6" t="s">
        <v>115</v>
      </c>
      <c r="J370" s="6">
        <f>+(J367*100*J368)/1000000/82*60</f>
        <v>1878.4807317073171</v>
      </c>
      <c r="K370" s="41" t="s">
        <v>113</v>
      </c>
      <c r="N370" s="23"/>
      <c r="O370" s="23"/>
      <c r="P370" s="23"/>
      <c r="Q370" s="23"/>
      <c r="S370" s="24"/>
      <c r="T370" s="25"/>
      <c r="U370" s="24"/>
      <c r="V370" s="23"/>
      <c r="W370" s="25"/>
      <c r="X370" s="24"/>
      <c r="Y370" s="69"/>
      <c r="Z370" s="23"/>
      <c r="AA370" s="23"/>
      <c r="AB370" s="24"/>
      <c r="AC370" s="23"/>
      <c r="AD370" s="22"/>
    </row>
    <row r="371" spans="1:30" x14ac:dyDescent="0.25">
      <c r="S371" s="67"/>
      <c r="T371" s="22"/>
      <c r="U371" s="67"/>
      <c r="W371" s="22"/>
      <c r="X371" s="67"/>
      <c r="Y371" s="22"/>
      <c r="AB371" s="67"/>
      <c r="AD371" s="22"/>
    </row>
    <row r="372" spans="1:30" x14ac:dyDescent="0.25">
      <c r="A372" s="6" t="s">
        <v>236</v>
      </c>
      <c r="D372" s="6" t="s">
        <v>80</v>
      </c>
      <c r="N372" s="23"/>
      <c r="O372" s="23"/>
      <c r="P372" s="23"/>
      <c r="Q372" s="23"/>
      <c r="S372" s="24"/>
      <c r="T372" s="25"/>
      <c r="U372" s="24"/>
      <c r="V372" s="23"/>
      <c r="W372" s="25"/>
      <c r="X372" s="24"/>
      <c r="Y372" s="69"/>
      <c r="Z372" s="23"/>
      <c r="AA372" s="23"/>
      <c r="AB372" s="24"/>
      <c r="AC372" s="23"/>
      <c r="AD372" s="22"/>
    </row>
    <row r="373" spans="1:30" x14ac:dyDescent="0.25">
      <c r="A373" s="41">
        <v>1640</v>
      </c>
      <c r="B373" s="41">
        <v>1800</v>
      </c>
      <c r="D373" s="6">
        <v>195</v>
      </c>
      <c r="E373" s="6">
        <v>370168</v>
      </c>
      <c r="F373" s="6">
        <v>591220</v>
      </c>
      <c r="G373" s="6">
        <v>18077</v>
      </c>
      <c r="H373" s="6">
        <v>550022</v>
      </c>
      <c r="I373" s="6">
        <v>562289</v>
      </c>
      <c r="N373" s="23"/>
      <c r="O373" s="23"/>
      <c r="P373" s="23"/>
      <c r="Q373" s="23"/>
      <c r="S373" s="24"/>
      <c r="T373" s="25"/>
      <c r="U373" s="24"/>
      <c r="V373" s="23"/>
      <c r="W373" s="25"/>
      <c r="X373" s="24"/>
      <c r="Y373" s="69"/>
      <c r="Z373" s="23"/>
      <c r="AA373" s="23"/>
      <c r="AB373" s="24"/>
      <c r="AC373" s="23"/>
      <c r="AD373" s="22"/>
    </row>
    <row r="374" spans="1:30" x14ac:dyDescent="0.25">
      <c r="A374" s="6" t="s">
        <v>237</v>
      </c>
      <c r="E374" s="6">
        <v>370789</v>
      </c>
      <c r="F374" s="6">
        <v>591829</v>
      </c>
      <c r="G374" s="6">
        <v>18586</v>
      </c>
      <c r="H374" s="6">
        <v>550642</v>
      </c>
      <c r="I374" s="6">
        <v>562916</v>
      </c>
      <c r="N374" s="23"/>
      <c r="O374" s="23"/>
      <c r="P374" s="23"/>
      <c r="Q374" s="23"/>
      <c r="S374" s="24"/>
      <c r="T374" s="25"/>
      <c r="U374" s="24"/>
      <c r="V374" s="23"/>
      <c r="W374" s="25"/>
      <c r="X374" s="24"/>
      <c r="Y374" s="69"/>
      <c r="Z374" s="23"/>
      <c r="AA374" s="23"/>
      <c r="AB374" s="24"/>
      <c r="AC374" s="23"/>
      <c r="AD374" s="22"/>
    </row>
    <row r="375" spans="1:30" x14ac:dyDescent="0.25">
      <c r="A375" s="6" t="s">
        <v>219</v>
      </c>
      <c r="D375" s="6" t="s">
        <v>111</v>
      </c>
      <c r="E375" s="6">
        <f>+E374-E373</f>
        <v>621</v>
      </c>
      <c r="F375" s="6">
        <f>+F374-F373</f>
        <v>609</v>
      </c>
      <c r="G375" s="6">
        <f>+G374-G373</f>
        <v>509</v>
      </c>
      <c r="H375" s="6">
        <f>+H374-H373</f>
        <v>620</v>
      </c>
      <c r="I375" s="6">
        <f>+I374-I373</f>
        <v>627</v>
      </c>
      <c r="J375" s="6">
        <f>SUM(E375:I375)</f>
        <v>2986</v>
      </c>
      <c r="N375" s="23"/>
      <c r="O375" s="23"/>
      <c r="P375" s="23"/>
      <c r="Q375" s="23"/>
      <c r="S375" s="24"/>
      <c r="T375" s="25"/>
      <c r="U375" s="24"/>
      <c r="V375" s="23"/>
      <c r="W375" s="25"/>
      <c r="X375" s="24"/>
      <c r="Y375" s="69"/>
      <c r="Z375" s="23"/>
      <c r="AA375" s="23"/>
      <c r="AB375" s="24"/>
      <c r="AC375" s="23"/>
      <c r="AD375" s="22"/>
    </row>
    <row r="376" spans="1:30" x14ac:dyDescent="0.25">
      <c r="D376" s="6" t="s">
        <v>112</v>
      </c>
      <c r="J376" s="6">
        <v>8470</v>
      </c>
      <c r="L376" s="6" t="s">
        <v>282</v>
      </c>
      <c r="N376" s="23">
        <v>0.25</v>
      </c>
      <c r="O376" s="23">
        <v>37</v>
      </c>
      <c r="P376" s="23">
        <v>4.1000000000000002E-2</v>
      </c>
      <c r="Q376" s="23">
        <v>6.71</v>
      </c>
      <c r="S376" s="24">
        <f>+J375*100</f>
        <v>298600</v>
      </c>
      <c r="T376" s="25">
        <f>+O376*1.02843*S376/1000000</f>
        <v>11.362300326</v>
      </c>
      <c r="U376" s="135">
        <f>+T376/J377</f>
        <v>4.4925513577331764E-3</v>
      </c>
      <c r="V376" s="139">
        <v>6.4000000000000003E-3</v>
      </c>
      <c r="W376" s="25" t="s">
        <v>113</v>
      </c>
      <c r="X376" s="126">
        <f>(+N376)*(2*0.95*10000)/J376</f>
        <v>0.56080283353010629</v>
      </c>
      <c r="Y376" s="132">
        <v>0.46</v>
      </c>
      <c r="Z376" s="23">
        <f>+J375*100</f>
        <v>298600</v>
      </c>
      <c r="AA376" s="23">
        <f>+P376*Z376/1000000</f>
        <v>1.2242600000000001E-2</v>
      </c>
      <c r="AB376" s="71">
        <f>+AA376/J377*1000000</f>
        <v>4.8406139315230234</v>
      </c>
      <c r="AC376" s="23" t="s">
        <v>113</v>
      </c>
      <c r="AD376" s="142">
        <v>1.24</v>
      </c>
    </row>
    <row r="377" spans="1:30" x14ac:dyDescent="0.25">
      <c r="D377" s="6" t="s">
        <v>114</v>
      </c>
      <c r="J377" s="6">
        <f>+(J375*100*J376)/1000000</f>
        <v>2529.1419999999998</v>
      </c>
      <c r="N377" s="23"/>
      <c r="O377" s="23"/>
      <c r="P377" s="23"/>
      <c r="Q377" s="23"/>
      <c r="S377" s="24"/>
      <c r="T377" s="25"/>
      <c r="U377" s="24"/>
      <c r="V377" s="23"/>
      <c r="W377" s="25"/>
      <c r="X377" s="24"/>
      <c r="Y377" s="69"/>
      <c r="Z377" s="23"/>
      <c r="AA377" s="23"/>
      <c r="AB377" s="24"/>
      <c r="AC377" s="23"/>
      <c r="AD377" s="22"/>
    </row>
    <row r="378" spans="1:30" x14ac:dyDescent="0.25">
      <c r="D378" s="6" t="s">
        <v>115</v>
      </c>
      <c r="J378" s="6">
        <f>+(J375*100*J376)/1000000/80*60</f>
        <v>1896.8564999999999</v>
      </c>
      <c r="K378" s="41" t="s">
        <v>113</v>
      </c>
      <c r="N378" s="23"/>
      <c r="O378" s="23"/>
      <c r="P378" s="23"/>
      <c r="Q378" s="23"/>
      <c r="S378" s="24"/>
      <c r="T378" s="25"/>
      <c r="U378" s="24"/>
      <c r="V378" s="23"/>
      <c r="W378" s="25"/>
      <c r="X378" s="24"/>
      <c r="Y378" s="69"/>
      <c r="Z378" s="23"/>
      <c r="AA378" s="23"/>
      <c r="AB378" s="24"/>
      <c r="AC378" s="23"/>
      <c r="AD378" s="22"/>
    </row>
    <row r="379" spans="1:30" x14ac:dyDescent="0.25">
      <c r="S379" s="67"/>
      <c r="T379" s="22"/>
      <c r="U379" s="67"/>
      <c r="W379" s="22"/>
      <c r="X379" s="67"/>
      <c r="Y379" s="22"/>
      <c r="AB379" s="67"/>
      <c r="AD379" s="22"/>
    </row>
    <row r="380" spans="1:30" ht="21" x14ac:dyDescent="0.35">
      <c r="A380" s="15" t="s">
        <v>317</v>
      </c>
      <c r="S380" s="67"/>
      <c r="T380" s="22"/>
      <c r="U380" s="67"/>
      <c r="W380" s="22"/>
      <c r="X380" s="67"/>
      <c r="Y380" s="22"/>
      <c r="AB380" s="67"/>
      <c r="AD380" s="22"/>
    </row>
    <row r="381" spans="1:30" x14ac:dyDescent="0.25">
      <c r="A381" s="6" t="s">
        <v>235</v>
      </c>
      <c r="D381" s="6" t="s">
        <v>80</v>
      </c>
      <c r="N381" s="23"/>
      <c r="O381" s="23"/>
      <c r="P381" s="23"/>
      <c r="Q381" s="23"/>
      <c r="S381" s="24"/>
      <c r="T381" s="25"/>
      <c r="U381" s="24"/>
      <c r="V381" s="23"/>
      <c r="W381" s="25"/>
      <c r="X381" s="24"/>
      <c r="Y381" s="69"/>
      <c r="Z381" s="23"/>
      <c r="AA381" s="23"/>
      <c r="AB381" s="24"/>
      <c r="AC381" s="23"/>
      <c r="AD381" s="22"/>
    </row>
    <row r="382" spans="1:30" x14ac:dyDescent="0.25">
      <c r="A382" s="41">
        <v>835</v>
      </c>
      <c r="B382" s="41">
        <v>900</v>
      </c>
      <c r="D382" s="6">
        <v>195</v>
      </c>
      <c r="E382" s="6">
        <v>372421</v>
      </c>
      <c r="F382" s="6">
        <v>593577</v>
      </c>
      <c r="G382" s="6">
        <v>23480</v>
      </c>
      <c r="H382" s="6">
        <v>555556</v>
      </c>
      <c r="I382" s="6">
        <v>567903</v>
      </c>
      <c r="N382" s="23"/>
      <c r="O382" s="23"/>
      <c r="P382" s="23"/>
      <c r="Q382" s="23"/>
      <c r="S382" s="24"/>
      <c r="T382" s="25"/>
      <c r="U382" s="24"/>
      <c r="V382" s="23"/>
      <c r="W382" s="25"/>
      <c r="X382" s="24"/>
      <c r="Y382" s="69"/>
      <c r="Z382" s="23"/>
      <c r="AA382" s="23"/>
      <c r="AB382" s="24"/>
      <c r="AC382" s="23"/>
      <c r="AD382" s="22"/>
    </row>
    <row r="383" spans="1:30" x14ac:dyDescent="0.25">
      <c r="A383" s="6" t="s">
        <v>238</v>
      </c>
      <c r="E383" s="6">
        <v>372623</v>
      </c>
      <c r="F383" s="6">
        <v>593778</v>
      </c>
      <c r="G383" s="6">
        <v>23680</v>
      </c>
      <c r="H383" s="6">
        <v>555758</v>
      </c>
      <c r="I383" s="6">
        <v>568107</v>
      </c>
      <c r="N383" s="23"/>
      <c r="O383" s="23"/>
      <c r="P383" s="23"/>
      <c r="Q383" s="23"/>
      <c r="S383" s="24"/>
      <c r="T383" s="25"/>
      <c r="U383" s="24"/>
      <c r="V383" s="23"/>
      <c r="W383" s="25"/>
      <c r="X383" s="24"/>
      <c r="Y383" s="69"/>
      <c r="Z383" s="23"/>
      <c r="AA383" s="23"/>
      <c r="AB383" s="24"/>
      <c r="AC383" s="23"/>
      <c r="AD383" s="22"/>
    </row>
    <row r="384" spans="1:30" x14ac:dyDescent="0.25">
      <c r="A384" s="6" t="s">
        <v>219</v>
      </c>
      <c r="D384" s="6" t="s">
        <v>111</v>
      </c>
      <c r="E384" s="6">
        <f>+E383-E382</f>
        <v>202</v>
      </c>
      <c r="F384" s="6">
        <f>+F383-F382</f>
        <v>201</v>
      </c>
      <c r="G384" s="6">
        <f>+G383-G382</f>
        <v>200</v>
      </c>
      <c r="H384" s="6">
        <f>+H383-H382</f>
        <v>202</v>
      </c>
      <c r="I384" s="6">
        <f>+I383-I382</f>
        <v>204</v>
      </c>
      <c r="J384" s="6">
        <f>SUM(E384:I384)</f>
        <v>1009</v>
      </c>
      <c r="N384" s="23"/>
      <c r="O384" s="23"/>
      <c r="P384" s="23"/>
      <c r="Q384" s="23"/>
      <c r="S384" s="24"/>
      <c r="T384" s="25"/>
      <c r="U384" s="24"/>
      <c r="V384" s="23"/>
      <c r="W384" s="25"/>
      <c r="X384" s="24"/>
      <c r="Y384" s="69"/>
      <c r="Z384" s="23"/>
      <c r="AA384" s="23"/>
      <c r="AB384" s="24"/>
      <c r="AC384" s="23"/>
      <c r="AD384" s="22"/>
    </row>
    <row r="385" spans="1:30" x14ac:dyDescent="0.25">
      <c r="D385" s="6" t="s">
        <v>112</v>
      </c>
      <c r="J385" s="6">
        <v>8504</v>
      </c>
      <c r="L385" s="6" t="s">
        <v>283</v>
      </c>
      <c r="N385" s="23">
        <v>0.27</v>
      </c>
      <c r="O385" s="23">
        <v>58</v>
      </c>
      <c r="P385" s="23">
        <v>4.7E-2</v>
      </c>
      <c r="Q385" s="23">
        <v>5.8</v>
      </c>
      <c r="S385" s="24">
        <f>+J384*100</f>
        <v>100900</v>
      </c>
      <c r="T385" s="25">
        <f>+O385*1.02843*S385/1000000</f>
        <v>6.0185780459999991</v>
      </c>
      <c r="U385" s="135">
        <f>+T385/J386</f>
        <v>7.0142215428033857E-3</v>
      </c>
      <c r="V385" s="23" t="s">
        <v>113</v>
      </c>
      <c r="W385" s="25" t="s">
        <v>113</v>
      </c>
      <c r="X385" s="126">
        <f>(+N385)*(2*0.95*10000)/J385</f>
        <v>0.60324553151458138</v>
      </c>
      <c r="Y385" s="127">
        <v>0.49</v>
      </c>
      <c r="Z385" s="23">
        <f>+J384*100</f>
        <v>100900</v>
      </c>
      <c r="AA385" s="23">
        <f>+P385*Z385/1000000</f>
        <v>4.7423000000000005E-3</v>
      </c>
      <c r="AB385" s="71">
        <f>+AA385/J386*1000000</f>
        <v>5.5268109125117606</v>
      </c>
      <c r="AC385" s="23" t="s">
        <v>113</v>
      </c>
      <c r="AD385" s="128">
        <v>1.2</v>
      </c>
    </row>
    <row r="386" spans="1:30" x14ac:dyDescent="0.25">
      <c r="D386" s="6" t="s">
        <v>114</v>
      </c>
      <c r="J386" s="6">
        <f>+(J384*100*J385)/1000000</f>
        <v>858.05359999999996</v>
      </c>
      <c r="N386" s="23"/>
      <c r="O386" s="23"/>
      <c r="P386" s="23"/>
      <c r="Q386" s="23"/>
      <c r="S386" s="24"/>
      <c r="T386" s="25"/>
      <c r="U386" s="24"/>
      <c r="V386" s="23"/>
      <c r="W386" s="25"/>
      <c r="X386" s="24"/>
      <c r="Y386" s="69"/>
      <c r="Z386" s="23"/>
      <c r="AA386" s="23"/>
      <c r="AB386" s="24"/>
      <c r="AC386" s="23"/>
      <c r="AD386" s="22"/>
    </row>
    <row r="387" spans="1:30" x14ac:dyDescent="0.25">
      <c r="D387" s="6" t="s">
        <v>115</v>
      </c>
      <c r="J387" s="6">
        <f>+(J384*100*J385)/1000000/25*60</f>
        <v>2059.3286400000002</v>
      </c>
      <c r="K387" s="41" t="s">
        <v>113</v>
      </c>
      <c r="N387" s="23"/>
      <c r="O387" s="23"/>
      <c r="P387" s="23"/>
      <c r="Q387" s="23"/>
      <c r="S387" s="24"/>
      <c r="T387" s="25"/>
      <c r="U387" s="24"/>
      <c r="V387" s="23"/>
      <c r="W387" s="25"/>
      <c r="X387" s="24"/>
      <c r="Y387" s="69"/>
      <c r="Z387" s="23"/>
      <c r="AA387" s="23"/>
      <c r="AB387" s="24"/>
      <c r="AC387" s="23"/>
      <c r="AD387" s="22"/>
    </row>
    <row r="388" spans="1:30" x14ac:dyDescent="0.25">
      <c r="S388" s="67"/>
      <c r="T388" s="22"/>
      <c r="U388" s="67"/>
      <c r="W388" s="22"/>
      <c r="X388" s="67"/>
      <c r="Y388" s="22"/>
      <c r="AB388" s="67"/>
      <c r="AD388" s="22"/>
    </row>
    <row r="389" spans="1:30" x14ac:dyDescent="0.25">
      <c r="A389" s="6" t="s">
        <v>239</v>
      </c>
      <c r="D389" s="6" t="s">
        <v>80</v>
      </c>
      <c r="N389" s="23"/>
      <c r="O389" s="23"/>
      <c r="P389" s="23"/>
      <c r="Q389" s="23"/>
      <c r="S389" s="24"/>
      <c r="T389" s="25"/>
      <c r="U389" s="24"/>
      <c r="V389" s="23"/>
      <c r="W389" s="25"/>
      <c r="X389" s="24"/>
      <c r="Y389" s="69"/>
      <c r="Z389" s="23"/>
      <c r="AA389" s="23"/>
      <c r="AB389" s="24"/>
      <c r="AC389" s="23"/>
      <c r="AD389" s="22"/>
    </row>
    <row r="390" spans="1:30" x14ac:dyDescent="0.25">
      <c r="A390" s="41">
        <v>915</v>
      </c>
      <c r="B390" s="41">
        <v>1040</v>
      </c>
      <c r="D390" s="6">
        <v>155</v>
      </c>
      <c r="E390" s="6">
        <v>372731</v>
      </c>
      <c r="F390" s="6">
        <v>593819</v>
      </c>
      <c r="G390" s="6">
        <v>23787</v>
      </c>
      <c r="H390" s="6">
        <v>555867</v>
      </c>
      <c r="I390" s="6">
        <v>568217</v>
      </c>
      <c r="N390" s="23"/>
      <c r="O390" s="23"/>
      <c r="P390" s="23"/>
      <c r="Q390" s="23"/>
      <c r="S390" s="24"/>
      <c r="T390" s="25"/>
      <c r="U390" s="24"/>
      <c r="V390" s="23"/>
      <c r="W390" s="25"/>
      <c r="X390" s="24"/>
      <c r="Y390" s="69"/>
      <c r="Z390" s="23"/>
      <c r="AA390" s="23"/>
      <c r="AB390" s="24"/>
      <c r="AC390" s="23"/>
      <c r="AD390" s="22"/>
    </row>
    <row r="391" spans="1:30" x14ac:dyDescent="0.25">
      <c r="A391" s="6" t="s">
        <v>238</v>
      </c>
      <c r="E391" s="6">
        <v>373353</v>
      </c>
      <c r="F391" s="6">
        <v>593819</v>
      </c>
      <c r="G391" s="6">
        <v>24408</v>
      </c>
      <c r="H391" s="6">
        <v>556500</v>
      </c>
      <c r="I391" s="6">
        <v>568858</v>
      </c>
      <c r="N391" s="23"/>
      <c r="O391" s="23"/>
      <c r="P391" s="23"/>
      <c r="Q391" s="23"/>
      <c r="S391" s="24"/>
      <c r="T391" s="25"/>
      <c r="U391" s="24"/>
      <c r="V391" s="23"/>
      <c r="W391" s="25"/>
      <c r="X391" s="24"/>
      <c r="Y391" s="69"/>
      <c r="Z391" s="23"/>
      <c r="AA391" s="23"/>
      <c r="AB391" s="24"/>
      <c r="AC391" s="23"/>
      <c r="AD391" s="22"/>
    </row>
    <row r="392" spans="1:30" x14ac:dyDescent="0.25">
      <c r="A392" s="6" t="s">
        <v>219</v>
      </c>
      <c r="D392" s="6" t="s">
        <v>111</v>
      </c>
      <c r="E392" s="6">
        <f>+E391-E390</f>
        <v>622</v>
      </c>
      <c r="F392" s="6">
        <f>+F391-F390</f>
        <v>0</v>
      </c>
      <c r="G392" s="6">
        <f>+G391-G390</f>
        <v>621</v>
      </c>
      <c r="H392" s="6">
        <f>+H391-H390</f>
        <v>633</v>
      </c>
      <c r="I392" s="6">
        <f>+I391-I390</f>
        <v>641</v>
      </c>
      <c r="J392" s="6">
        <f>SUM(E392:I392)</f>
        <v>2517</v>
      </c>
      <c r="N392" s="23"/>
      <c r="O392" s="23"/>
      <c r="P392" s="23"/>
      <c r="Q392" s="23"/>
      <c r="S392" s="24"/>
      <c r="T392" s="25"/>
      <c r="U392" s="24"/>
      <c r="V392" s="23"/>
      <c r="W392" s="25"/>
      <c r="X392" s="24"/>
      <c r="Y392" s="69"/>
      <c r="Z392" s="23"/>
      <c r="AA392" s="23"/>
      <c r="AB392" s="24"/>
      <c r="AC392" s="23"/>
      <c r="AD392" s="22"/>
    </row>
    <row r="393" spans="1:30" ht="15.75" thickBot="1" x14ac:dyDescent="0.3">
      <c r="D393" s="6" t="s">
        <v>112</v>
      </c>
      <c r="J393" s="6">
        <v>8504</v>
      </c>
      <c r="L393" s="6" t="s">
        <v>283</v>
      </c>
      <c r="N393" s="23">
        <v>0.27</v>
      </c>
      <c r="O393" s="23">
        <v>58</v>
      </c>
      <c r="P393" s="23">
        <v>4.7E-2</v>
      </c>
      <c r="Q393" s="23">
        <v>5.8</v>
      </c>
      <c r="S393" s="29">
        <f>+J392*100</f>
        <v>251700</v>
      </c>
      <c r="T393" s="31">
        <f>+O393*1.02843*S393/1000000</f>
        <v>15.013638197999999</v>
      </c>
      <c r="U393" s="140">
        <f>+T393/J394</f>
        <v>7.0142215428033866E-3</v>
      </c>
      <c r="V393" s="141">
        <v>6.8999999999999999E-3</v>
      </c>
      <c r="W393" s="31" t="s">
        <v>113</v>
      </c>
      <c r="X393" s="133">
        <f>(+N393)*(2*0.95*10000)/J393</f>
        <v>0.60324553151458138</v>
      </c>
      <c r="Y393" s="134">
        <v>0.49</v>
      </c>
      <c r="Z393" s="29">
        <f>+J392*100</f>
        <v>251700</v>
      </c>
      <c r="AA393" s="31">
        <f>+P393*Z393/1000000</f>
        <v>1.1829899999999999E-2</v>
      </c>
      <c r="AB393" s="74">
        <f>+AA393/J394*1000000</f>
        <v>5.5268109125117588</v>
      </c>
      <c r="AC393" s="30" t="s">
        <v>113</v>
      </c>
      <c r="AD393" s="154">
        <v>0.79</v>
      </c>
    </row>
    <row r="394" spans="1:30" x14ac:dyDescent="0.25">
      <c r="D394" s="6" t="s">
        <v>114</v>
      </c>
      <c r="J394" s="6">
        <f>+(J392*100*J393)/1000000</f>
        <v>2140.4567999999999</v>
      </c>
      <c r="N394" s="23"/>
      <c r="O394" s="23"/>
      <c r="P394" s="23"/>
      <c r="Q394" s="23"/>
      <c r="S394" s="23"/>
      <c r="T394" s="23"/>
      <c r="U394" s="23"/>
      <c r="V394" s="23"/>
      <c r="W394" s="23"/>
      <c r="X394" s="23"/>
      <c r="Y394" s="38"/>
      <c r="Z394" s="23"/>
      <c r="AA394" s="23"/>
      <c r="AB394" s="23"/>
      <c r="AC394" s="23"/>
    </row>
    <row r="395" spans="1:30" x14ac:dyDescent="0.25">
      <c r="D395" s="6" t="s">
        <v>115</v>
      </c>
      <c r="J395" s="6">
        <f>+(J392*100*J393)/1000000/85*60</f>
        <v>1510.9106823529412</v>
      </c>
      <c r="K395" s="41" t="s">
        <v>113</v>
      </c>
      <c r="N395" s="23"/>
      <c r="O395" s="23"/>
      <c r="P395" s="23"/>
      <c r="Q395" s="23"/>
      <c r="S395" s="23"/>
      <c r="T395" s="23"/>
      <c r="U395" s="23"/>
      <c r="V395" s="23"/>
      <c r="W395" s="23"/>
      <c r="X395" s="23"/>
      <c r="Y395" s="38"/>
      <c r="Z395" s="23"/>
      <c r="AA395" s="23"/>
      <c r="AB395" s="23"/>
      <c r="AC395" s="23"/>
    </row>
  </sheetData>
  <sheetProtection password="C02E" sheet="1" objects="1" scenarios="1"/>
  <pageMargins left="0.2" right="0" top="0.75" bottom="0.5" header="0.3" footer="0.3"/>
  <pageSetup paperSize="3" scale="6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/>
  </sheetViews>
  <sheetFormatPr defaultRowHeight="15" x14ac:dyDescent="0.25"/>
  <cols>
    <col min="1" max="1" width="11.7109375" style="51" customWidth="1"/>
    <col min="2" max="16384" width="9.140625" style="51"/>
  </cols>
  <sheetData>
    <row r="1" spans="1:17" ht="23.25" x14ac:dyDescent="0.35">
      <c r="A1" s="3" t="s">
        <v>326</v>
      </c>
      <c r="B1" s="3"/>
      <c r="C1" s="3"/>
      <c r="D1" s="3"/>
    </row>
    <row r="2" spans="1:17" ht="23.25" x14ac:dyDescent="0.35">
      <c r="A2" s="3" t="s">
        <v>166</v>
      </c>
      <c r="B2" s="3"/>
      <c r="C2" s="3"/>
      <c r="D2" s="3"/>
    </row>
    <row r="3" spans="1:17" x14ac:dyDescent="0.25">
      <c r="A3" s="52" t="s">
        <v>0</v>
      </c>
      <c r="B3" s="52" t="s">
        <v>1</v>
      </c>
      <c r="C3" s="52" t="s">
        <v>4</v>
      </c>
      <c r="D3" s="52" t="s">
        <v>2</v>
      </c>
      <c r="E3" s="52" t="s">
        <v>3</v>
      </c>
      <c r="F3" s="52"/>
      <c r="G3" s="52" t="s">
        <v>5</v>
      </c>
      <c r="H3" s="52"/>
      <c r="J3" s="52" t="s">
        <v>8</v>
      </c>
      <c r="K3" s="52"/>
      <c r="L3" s="52" t="s">
        <v>10</v>
      </c>
      <c r="Q3" s="51" t="s">
        <v>152</v>
      </c>
    </row>
    <row r="4" spans="1:17" x14ac:dyDescent="0.25">
      <c r="A4" s="45" t="s">
        <v>323</v>
      </c>
      <c r="Q4" s="51" t="s">
        <v>324</v>
      </c>
    </row>
    <row r="5" spans="1:17" x14ac:dyDescent="0.25">
      <c r="A5" s="1">
        <v>41674</v>
      </c>
      <c r="B5" s="4">
        <v>1</v>
      </c>
      <c r="C5" s="51">
        <v>172</v>
      </c>
      <c r="D5" s="51">
        <v>920</v>
      </c>
      <c r="E5" s="51">
        <v>1030</v>
      </c>
      <c r="G5" s="51" t="s">
        <v>318</v>
      </c>
      <c r="J5" s="51">
        <v>10</v>
      </c>
      <c r="L5" s="51" t="s">
        <v>167</v>
      </c>
      <c r="Q5" s="146">
        <v>1.8700000000000001E-2</v>
      </c>
    </row>
    <row r="6" spans="1:17" x14ac:dyDescent="0.25">
      <c r="B6" s="4">
        <v>2</v>
      </c>
      <c r="C6" s="51">
        <v>170</v>
      </c>
      <c r="D6" s="51">
        <v>1113</v>
      </c>
      <c r="E6" s="51">
        <v>1222</v>
      </c>
      <c r="G6" s="51" t="s">
        <v>318</v>
      </c>
      <c r="J6" s="51">
        <v>10</v>
      </c>
      <c r="L6" s="51" t="s">
        <v>167</v>
      </c>
      <c r="Q6" s="146">
        <v>0.02</v>
      </c>
    </row>
    <row r="7" spans="1:17" x14ac:dyDescent="0.25">
      <c r="B7" s="51">
        <v>3</v>
      </c>
      <c r="C7" s="51">
        <v>173</v>
      </c>
      <c r="D7" s="51">
        <v>1246</v>
      </c>
      <c r="E7" s="51">
        <v>1353</v>
      </c>
      <c r="G7" s="51" t="s">
        <v>318</v>
      </c>
      <c r="J7" s="51">
        <v>10</v>
      </c>
      <c r="L7" s="51" t="s">
        <v>167</v>
      </c>
      <c r="Q7" s="146">
        <v>2.18E-2</v>
      </c>
    </row>
    <row r="8" spans="1:17" x14ac:dyDescent="0.25">
      <c r="A8" s="1">
        <v>41675</v>
      </c>
      <c r="B8" s="51">
        <v>4</v>
      </c>
      <c r="C8" s="51">
        <v>79</v>
      </c>
      <c r="D8" s="51">
        <v>905</v>
      </c>
      <c r="E8" s="51">
        <v>1016</v>
      </c>
      <c r="G8" s="51" t="s">
        <v>318</v>
      </c>
      <c r="J8" s="51">
        <v>8</v>
      </c>
      <c r="L8" s="51" t="s">
        <v>168</v>
      </c>
      <c r="Q8" s="146">
        <v>1.6299999999999999E-2</v>
      </c>
    </row>
    <row r="9" spans="1:17" x14ac:dyDescent="0.25">
      <c r="B9" s="51">
        <v>5</v>
      </c>
      <c r="C9" s="51">
        <v>130</v>
      </c>
      <c r="D9" s="51">
        <v>1432</v>
      </c>
      <c r="E9" s="51">
        <v>1520</v>
      </c>
      <c r="G9" s="51" t="s">
        <v>319</v>
      </c>
      <c r="J9" s="51">
        <v>8</v>
      </c>
      <c r="L9" s="51" t="s">
        <v>169</v>
      </c>
      <c r="Q9" s="147" t="s">
        <v>113</v>
      </c>
    </row>
    <row r="10" spans="1:17" x14ac:dyDescent="0.25">
      <c r="B10" s="51">
        <v>6</v>
      </c>
      <c r="C10" s="51">
        <v>130</v>
      </c>
      <c r="D10" s="51">
        <v>1610</v>
      </c>
      <c r="E10" s="51">
        <v>1656</v>
      </c>
      <c r="G10" s="51" t="s">
        <v>319</v>
      </c>
      <c r="J10" s="51">
        <v>9</v>
      </c>
      <c r="L10" s="51" t="s">
        <v>170</v>
      </c>
      <c r="Q10" s="147" t="s">
        <v>113</v>
      </c>
    </row>
    <row r="11" spans="1:17" x14ac:dyDescent="0.25">
      <c r="A11" s="1">
        <v>41676</v>
      </c>
      <c r="B11" s="51">
        <v>7</v>
      </c>
      <c r="C11" s="51">
        <v>170</v>
      </c>
      <c r="D11" s="51">
        <v>810</v>
      </c>
      <c r="E11" s="51">
        <v>852</v>
      </c>
      <c r="G11" s="51" t="s">
        <v>319</v>
      </c>
      <c r="J11" s="51">
        <v>13</v>
      </c>
      <c r="L11" s="51" t="s">
        <v>172</v>
      </c>
      <c r="Q11" s="147" t="s">
        <v>113</v>
      </c>
    </row>
    <row r="12" spans="1:17" x14ac:dyDescent="0.25">
      <c r="B12" s="51">
        <v>8</v>
      </c>
      <c r="C12" s="51">
        <v>160</v>
      </c>
      <c r="D12" s="51">
        <v>920</v>
      </c>
      <c r="E12" s="51">
        <v>1004</v>
      </c>
      <c r="G12" s="51" t="s">
        <v>319</v>
      </c>
      <c r="J12" s="51">
        <v>13</v>
      </c>
      <c r="L12" s="51" t="s">
        <v>171</v>
      </c>
      <c r="Q12" s="147" t="s">
        <v>113</v>
      </c>
    </row>
  </sheetData>
  <sheetProtection password="C02E" sheet="1" objects="1" scenarios="1"/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7"/>
  <sheetViews>
    <sheetView workbookViewId="0"/>
  </sheetViews>
  <sheetFormatPr defaultRowHeight="15" x14ac:dyDescent="0.25"/>
  <sheetData>
    <row r="1" spans="1:31" ht="23.25" x14ac:dyDescent="0.35">
      <c r="A1" s="5" t="s">
        <v>327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 t="s">
        <v>72</v>
      </c>
      <c r="T1" s="8"/>
      <c r="U1" s="9"/>
      <c r="V1" s="11" t="s">
        <v>74</v>
      </c>
      <c r="W1" s="7" t="s">
        <v>72</v>
      </c>
      <c r="X1" s="8"/>
      <c r="Y1" s="9"/>
      <c r="Z1" s="13" t="s">
        <v>10</v>
      </c>
      <c r="AA1" s="14"/>
      <c r="AB1" s="14"/>
      <c r="AC1" s="14"/>
      <c r="AD1" s="12"/>
      <c r="AE1" s="6"/>
    </row>
    <row r="2" spans="1:31" ht="21" x14ac:dyDescent="0.35">
      <c r="A2" s="42" t="s">
        <v>173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6"/>
      <c r="N2" s="6"/>
      <c r="O2" s="6"/>
      <c r="P2" s="6"/>
      <c r="Q2" s="6"/>
      <c r="R2" s="6"/>
      <c r="S2" s="16" t="s">
        <v>75</v>
      </c>
      <c r="T2" s="17"/>
      <c r="U2" s="18"/>
      <c r="V2" s="19" t="s">
        <v>77</v>
      </c>
      <c r="W2" s="16" t="s">
        <v>78</v>
      </c>
      <c r="X2" s="17"/>
      <c r="Y2" s="18"/>
      <c r="Z2" s="21"/>
      <c r="AA2" s="6"/>
      <c r="AB2" s="6"/>
      <c r="AC2" s="6"/>
      <c r="AD2" s="22"/>
      <c r="AE2" s="6"/>
    </row>
    <row r="3" spans="1:31" ht="21" x14ac:dyDescent="0.35">
      <c r="A3" s="15" t="s">
        <v>320</v>
      </c>
      <c r="B3" s="15"/>
      <c r="C3" s="6"/>
      <c r="D3" s="6"/>
      <c r="E3" s="6"/>
      <c r="F3" s="6"/>
      <c r="G3" s="6"/>
      <c r="H3" s="6"/>
      <c r="I3" s="6"/>
      <c r="J3" s="23" t="s">
        <v>177</v>
      </c>
      <c r="K3" s="23" t="s">
        <v>177</v>
      </c>
      <c r="L3" s="23" t="s">
        <v>177</v>
      </c>
      <c r="M3" s="23"/>
      <c r="N3" s="23" t="s">
        <v>177</v>
      </c>
      <c r="O3" s="23" t="s">
        <v>177</v>
      </c>
      <c r="P3" s="23" t="s">
        <v>177</v>
      </c>
      <c r="Q3" s="23" t="s">
        <v>177</v>
      </c>
      <c r="R3" s="6"/>
      <c r="S3" s="24" t="s">
        <v>81</v>
      </c>
      <c r="T3" s="23" t="s">
        <v>81</v>
      </c>
      <c r="U3" s="25" t="s">
        <v>81</v>
      </c>
      <c r="V3" s="21" t="s">
        <v>83</v>
      </c>
      <c r="W3" s="24" t="s">
        <v>81</v>
      </c>
      <c r="X3" s="23" t="s">
        <v>81</v>
      </c>
      <c r="Y3" s="25" t="s">
        <v>81</v>
      </c>
      <c r="Z3" s="21"/>
      <c r="AA3" s="6"/>
      <c r="AB3" s="6"/>
      <c r="AC3" s="6"/>
      <c r="AD3" s="22"/>
      <c r="AE3" s="6"/>
    </row>
    <row r="4" spans="1:31" x14ac:dyDescent="0.25">
      <c r="A4" s="6"/>
      <c r="B4" s="6"/>
      <c r="C4" s="6"/>
      <c r="D4" s="6"/>
      <c r="E4" s="23" t="s">
        <v>86</v>
      </c>
      <c r="F4" s="23" t="s">
        <v>86</v>
      </c>
      <c r="G4" s="23" t="s">
        <v>86</v>
      </c>
      <c r="H4" s="23" t="s">
        <v>86</v>
      </c>
      <c r="I4" s="23"/>
      <c r="J4" s="27" t="s">
        <v>87</v>
      </c>
      <c r="K4" s="23" t="s">
        <v>88</v>
      </c>
      <c r="L4" s="23" t="s">
        <v>89</v>
      </c>
      <c r="M4" s="23"/>
      <c r="N4" s="23" t="s">
        <v>90</v>
      </c>
      <c r="O4" s="23" t="s">
        <v>91</v>
      </c>
      <c r="P4" s="23" t="s">
        <v>12</v>
      </c>
      <c r="Q4" s="23" t="s">
        <v>92</v>
      </c>
      <c r="R4" s="6"/>
      <c r="S4" s="24" t="s">
        <v>93</v>
      </c>
      <c r="T4" s="23" t="s">
        <v>94</v>
      </c>
      <c r="U4" s="25" t="s">
        <v>94</v>
      </c>
      <c r="V4" s="21" t="s">
        <v>95</v>
      </c>
      <c r="W4" s="24" t="s">
        <v>93</v>
      </c>
      <c r="X4" s="23" t="s">
        <v>12</v>
      </c>
      <c r="Y4" s="25" t="s">
        <v>12</v>
      </c>
      <c r="Z4" s="21"/>
      <c r="AA4" s="6"/>
      <c r="AB4" s="6"/>
      <c r="AC4" s="6"/>
      <c r="AD4" s="22"/>
      <c r="AE4" s="6"/>
    </row>
    <row r="5" spans="1:31" ht="15.75" thickBot="1" x14ac:dyDescent="0.3">
      <c r="A5" s="6" t="s">
        <v>135</v>
      </c>
      <c r="B5" s="6"/>
      <c r="C5" s="6"/>
      <c r="D5" s="6" t="s">
        <v>166</v>
      </c>
      <c r="E5" s="23" t="s">
        <v>67</v>
      </c>
      <c r="F5" s="23" t="s">
        <v>68</v>
      </c>
      <c r="G5" s="23" t="s">
        <v>175</v>
      </c>
      <c r="H5" s="23" t="s">
        <v>176</v>
      </c>
      <c r="I5" s="23"/>
      <c r="J5" s="27" t="s">
        <v>99</v>
      </c>
      <c r="K5" s="28" t="s">
        <v>100</v>
      </c>
      <c r="L5" s="23" t="s">
        <v>101</v>
      </c>
      <c r="M5" s="23"/>
      <c r="N5" s="23" t="s">
        <v>102</v>
      </c>
      <c r="O5" s="23" t="s">
        <v>103</v>
      </c>
      <c r="P5" s="23" t="s">
        <v>103</v>
      </c>
      <c r="Q5" s="23" t="s">
        <v>102</v>
      </c>
      <c r="R5" s="6"/>
      <c r="S5" s="29" t="s">
        <v>104</v>
      </c>
      <c r="T5" s="30" t="s">
        <v>105</v>
      </c>
      <c r="U5" s="31" t="s">
        <v>106</v>
      </c>
      <c r="V5" s="32" t="s">
        <v>106</v>
      </c>
      <c r="W5" s="29" t="s">
        <v>104</v>
      </c>
      <c r="X5" s="30" t="s">
        <v>105</v>
      </c>
      <c r="Y5" s="31" t="s">
        <v>107</v>
      </c>
      <c r="Z5" s="32"/>
      <c r="AA5" s="34"/>
      <c r="AB5" s="34"/>
      <c r="AC5" s="34"/>
      <c r="AD5" s="35"/>
      <c r="AE5" s="6"/>
    </row>
    <row r="6" spans="1:31" x14ac:dyDescent="0.25">
      <c r="A6" s="41">
        <v>920</v>
      </c>
      <c r="B6" s="36">
        <v>1030</v>
      </c>
      <c r="C6" s="6"/>
      <c r="D6" s="6">
        <v>172</v>
      </c>
      <c r="E6" s="6">
        <v>522504</v>
      </c>
      <c r="F6" s="6">
        <v>508103</v>
      </c>
      <c r="G6" s="6">
        <v>659100</v>
      </c>
      <c r="H6" s="6">
        <v>76860</v>
      </c>
      <c r="I6" s="6"/>
      <c r="J6" s="6"/>
      <c r="K6" s="6"/>
      <c r="L6" s="6"/>
      <c r="M6" s="6"/>
      <c r="N6" s="6"/>
      <c r="O6" s="6"/>
      <c r="P6" s="6"/>
      <c r="Q6" s="6"/>
      <c r="R6" s="37" t="s">
        <v>108</v>
      </c>
      <c r="S6" s="23"/>
      <c r="T6" s="23"/>
      <c r="U6" s="131">
        <v>2E-3</v>
      </c>
      <c r="V6" s="144">
        <v>0.74</v>
      </c>
      <c r="W6" s="23"/>
      <c r="X6" s="23"/>
      <c r="Y6" s="145">
        <v>1.2</v>
      </c>
      <c r="Z6" s="136" t="s">
        <v>109</v>
      </c>
      <c r="AA6" s="136"/>
      <c r="AB6" s="136"/>
      <c r="AC6" s="136"/>
      <c r="AD6" s="136"/>
      <c r="AE6" s="6"/>
    </row>
    <row r="7" spans="1:31" x14ac:dyDescent="0.25">
      <c r="A7" s="6"/>
      <c r="B7" s="6"/>
      <c r="C7" s="6"/>
      <c r="D7" s="6"/>
      <c r="E7" s="6">
        <v>523091</v>
      </c>
      <c r="F7" s="6">
        <v>508686</v>
      </c>
      <c r="G7" s="6">
        <v>659676</v>
      </c>
      <c r="H7" s="6">
        <v>77434</v>
      </c>
      <c r="I7" s="6"/>
      <c r="J7" s="6"/>
      <c r="K7" s="6"/>
      <c r="L7" s="6"/>
      <c r="M7" s="6"/>
      <c r="N7" s="23"/>
      <c r="O7" s="23"/>
      <c r="P7" s="23"/>
      <c r="Q7" s="23"/>
      <c r="R7" s="6"/>
      <c r="S7" s="23"/>
      <c r="T7" s="23"/>
      <c r="U7" s="23"/>
      <c r="V7" s="23"/>
      <c r="W7" s="23"/>
      <c r="X7" s="23"/>
      <c r="Y7" s="23"/>
      <c r="Z7" s="125" t="s">
        <v>110</v>
      </c>
      <c r="AA7" s="125"/>
      <c r="AB7" s="125"/>
      <c r="AC7" s="125"/>
      <c r="AD7" s="125"/>
      <c r="AE7" s="6"/>
    </row>
    <row r="8" spans="1:31" x14ac:dyDescent="0.25">
      <c r="A8" s="6"/>
      <c r="B8" s="6"/>
      <c r="C8" s="6"/>
      <c r="D8" s="6" t="s">
        <v>111</v>
      </c>
      <c r="E8" s="6">
        <f>+E7-E6</f>
        <v>587</v>
      </c>
      <c r="F8" s="6">
        <f>+F7-F6</f>
        <v>583</v>
      </c>
      <c r="G8" s="6">
        <f>+G7-G6</f>
        <v>576</v>
      </c>
      <c r="H8" s="6">
        <f>+H7-H6</f>
        <v>574</v>
      </c>
      <c r="I8" s="6">
        <f>+I7-I6</f>
        <v>0</v>
      </c>
      <c r="J8" s="6">
        <f>SUM(E8:I8)</f>
        <v>2320</v>
      </c>
      <c r="K8" s="6"/>
      <c r="L8" s="6"/>
      <c r="M8" s="6"/>
      <c r="N8" s="23"/>
      <c r="O8" s="23"/>
      <c r="P8" s="23"/>
      <c r="Q8" s="23"/>
      <c r="R8" s="6"/>
      <c r="S8" s="23"/>
      <c r="T8" s="23"/>
      <c r="U8" s="23"/>
      <c r="V8" s="23"/>
      <c r="W8" s="23"/>
      <c r="X8" s="23"/>
      <c r="Y8" s="23"/>
      <c r="Z8" s="6"/>
      <c r="AA8" s="6"/>
      <c r="AB8" s="6"/>
      <c r="AC8" s="6"/>
      <c r="AD8" s="6"/>
      <c r="AE8" s="6"/>
    </row>
    <row r="9" spans="1:31" x14ac:dyDescent="0.25">
      <c r="A9" s="6"/>
      <c r="B9" s="6"/>
      <c r="C9" s="6"/>
      <c r="D9" s="6" t="s">
        <v>112</v>
      </c>
      <c r="E9" s="6"/>
      <c r="F9" s="6"/>
      <c r="G9" s="6"/>
      <c r="H9" s="6"/>
      <c r="I9" s="6"/>
      <c r="J9" s="6">
        <v>8945</v>
      </c>
      <c r="K9" s="6"/>
      <c r="L9" s="6" t="s">
        <v>256</v>
      </c>
      <c r="M9" s="6"/>
      <c r="N9" s="23">
        <v>0.28000000000000003</v>
      </c>
      <c r="O9" s="39">
        <v>25</v>
      </c>
      <c r="P9" s="23">
        <v>3.7999999999999999E-2</v>
      </c>
      <c r="Q9" s="23">
        <v>4.78</v>
      </c>
      <c r="R9" s="6"/>
      <c r="S9" s="23">
        <f>+J8*100</f>
        <v>232000</v>
      </c>
      <c r="T9" s="23">
        <f>+O9*1.02843*S9/1000000</f>
        <v>5.9648939999999993</v>
      </c>
      <c r="U9" s="139">
        <f>+T9/J10</f>
        <v>2.874315259921744E-3</v>
      </c>
      <c r="V9" s="145">
        <f>(+N9)*(2*0.95*10000)/J9</f>
        <v>0.59474566797093353</v>
      </c>
      <c r="W9" s="23">
        <f>+J8*100</f>
        <v>232000</v>
      </c>
      <c r="X9" s="23">
        <f>+P9*W9/1000000</f>
        <v>8.8159999999999992E-3</v>
      </c>
      <c r="Y9" s="143">
        <f>+X9/J10*1000000</f>
        <v>4.2481833426495248</v>
      </c>
      <c r="Z9" s="51" t="s">
        <v>167</v>
      </c>
      <c r="AA9" s="51"/>
      <c r="AB9" s="51"/>
      <c r="AC9" s="51"/>
      <c r="AD9" s="6"/>
      <c r="AE9" s="6"/>
    </row>
    <row r="10" spans="1:31" x14ac:dyDescent="0.25">
      <c r="A10" s="6"/>
      <c r="B10" s="6"/>
      <c r="C10" s="6"/>
      <c r="D10" s="6" t="s">
        <v>114</v>
      </c>
      <c r="E10" s="6"/>
      <c r="F10" s="6"/>
      <c r="G10" s="6"/>
      <c r="H10" s="6"/>
      <c r="I10" s="6"/>
      <c r="J10" s="6">
        <f>+(J8*100*J9)/1000000</f>
        <v>2075.2399999999998</v>
      </c>
      <c r="K10" s="6"/>
      <c r="L10" s="6"/>
      <c r="M10" s="6"/>
      <c r="N10" s="23"/>
      <c r="O10" s="23"/>
      <c r="P10" s="23"/>
      <c r="Q10" s="23"/>
      <c r="R10" s="6"/>
      <c r="S10" s="23"/>
      <c r="T10" s="23"/>
      <c r="U10" s="23"/>
      <c r="V10" s="23"/>
      <c r="W10" s="23"/>
      <c r="X10" s="23"/>
      <c r="Y10" s="23"/>
      <c r="Z10" s="6" t="s">
        <v>296</v>
      </c>
      <c r="AA10" s="51"/>
      <c r="AB10" s="51"/>
      <c r="AC10" s="51"/>
      <c r="AD10" s="6"/>
      <c r="AE10" s="6"/>
    </row>
    <row r="11" spans="1:31" x14ac:dyDescent="0.25">
      <c r="A11" s="6"/>
      <c r="B11" s="6"/>
      <c r="C11" s="6"/>
      <c r="D11" s="6" t="s">
        <v>115</v>
      </c>
      <c r="E11" s="6"/>
      <c r="F11" s="6"/>
      <c r="G11" s="6"/>
      <c r="H11" s="6"/>
      <c r="I11" s="6"/>
      <c r="J11" s="6">
        <f>+(J8*100*J9)/1000000/70*60</f>
        <v>1778.7771428571427</v>
      </c>
      <c r="K11" s="41" t="s">
        <v>113</v>
      </c>
      <c r="L11" s="6"/>
      <c r="M11" s="6"/>
      <c r="N11" s="23"/>
      <c r="O11" s="23"/>
      <c r="P11" s="23"/>
      <c r="Q11" s="23"/>
      <c r="R11" s="6"/>
      <c r="S11" s="23"/>
      <c r="T11" s="23"/>
      <c r="U11" s="23"/>
      <c r="V11" s="23"/>
      <c r="W11" s="23"/>
      <c r="X11" s="23"/>
      <c r="Y11" s="23"/>
      <c r="Z11" s="6"/>
      <c r="AA11" s="6"/>
      <c r="AB11" s="6"/>
      <c r="AC11" s="6"/>
      <c r="AD11" s="6"/>
      <c r="AE11" s="6"/>
    </row>
    <row r="12" spans="1:3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3"/>
      <c r="O12" s="23"/>
      <c r="P12" s="23"/>
      <c r="Q12" s="23"/>
      <c r="R12" s="6"/>
      <c r="S12" s="23"/>
      <c r="T12" s="23"/>
      <c r="U12" s="23"/>
      <c r="V12" s="23"/>
      <c r="W12" s="23"/>
      <c r="X12" s="23"/>
      <c r="Y12" s="23"/>
      <c r="Z12" s="6"/>
      <c r="AA12" s="6"/>
      <c r="AB12" s="6"/>
      <c r="AC12" s="6"/>
      <c r="AD12" s="6"/>
      <c r="AE12" s="6"/>
    </row>
    <row r="13" spans="1:31" x14ac:dyDescent="0.25">
      <c r="A13" s="6" t="s">
        <v>178</v>
      </c>
      <c r="B13" s="6"/>
      <c r="C13" s="6"/>
      <c r="D13" s="6" t="s">
        <v>166</v>
      </c>
      <c r="E13" s="23" t="s">
        <v>67</v>
      </c>
      <c r="F13" s="23" t="s">
        <v>68</v>
      </c>
      <c r="G13" s="23" t="s">
        <v>175</v>
      </c>
      <c r="H13" s="23" t="s">
        <v>176</v>
      </c>
      <c r="I13" s="23"/>
      <c r="J13" s="27"/>
      <c r="K13" s="28"/>
      <c r="L13" s="23"/>
      <c r="M13" s="23"/>
      <c r="N13" s="23"/>
      <c r="O13" s="23"/>
      <c r="P13" s="23"/>
      <c r="Q13" s="23"/>
      <c r="R13" s="6"/>
      <c r="S13" s="23"/>
      <c r="T13" s="23"/>
      <c r="U13" s="23"/>
      <c r="V13" s="23"/>
      <c r="W13" s="23"/>
      <c r="X13" s="23"/>
      <c r="Y13" s="23"/>
      <c r="Z13" s="6"/>
      <c r="AA13" s="6"/>
      <c r="AB13" s="6"/>
      <c r="AC13" s="6"/>
      <c r="AD13" s="6"/>
      <c r="AE13" s="6"/>
    </row>
    <row r="14" spans="1:31" x14ac:dyDescent="0.25">
      <c r="A14" s="41">
        <v>1113</v>
      </c>
      <c r="B14" s="36">
        <v>1225</v>
      </c>
      <c r="C14" s="6"/>
      <c r="D14" s="6">
        <v>172</v>
      </c>
      <c r="E14" s="6">
        <v>523448</v>
      </c>
      <c r="F14" s="6">
        <v>509043</v>
      </c>
      <c r="G14" s="6">
        <v>660018</v>
      </c>
      <c r="H14" s="6">
        <v>77775</v>
      </c>
      <c r="I14" s="6"/>
      <c r="J14" s="6"/>
      <c r="K14" s="6"/>
      <c r="L14" s="6"/>
      <c r="M14" s="6"/>
      <c r="N14" s="6"/>
      <c r="O14" s="6"/>
      <c r="P14" s="6"/>
      <c r="Q14" s="6"/>
    </row>
    <row r="15" spans="1:31" x14ac:dyDescent="0.25">
      <c r="A15" s="6"/>
      <c r="B15" s="6"/>
      <c r="C15" s="6"/>
      <c r="D15" s="6"/>
      <c r="E15" s="6">
        <v>524033</v>
      </c>
      <c r="F15" s="6">
        <v>509615</v>
      </c>
      <c r="G15" s="6">
        <v>660576</v>
      </c>
      <c r="H15" s="6">
        <v>78326</v>
      </c>
      <c r="I15" s="6"/>
      <c r="J15" s="6"/>
      <c r="K15" s="6"/>
      <c r="L15" s="6"/>
      <c r="M15" s="6"/>
      <c r="N15" s="23"/>
      <c r="O15" s="23"/>
      <c r="P15" s="23"/>
      <c r="Q15" s="23"/>
    </row>
    <row r="16" spans="1:31" x14ac:dyDescent="0.25">
      <c r="A16" s="6"/>
      <c r="B16" s="6"/>
      <c r="C16" s="6"/>
      <c r="D16" s="6" t="s">
        <v>111</v>
      </c>
      <c r="E16" s="6">
        <f>+E15-E14</f>
        <v>585</v>
      </c>
      <c r="F16" s="6">
        <f>+F15-F14</f>
        <v>572</v>
      </c>
      <c r="G16" s="6">
        <f>+G15-G14</f>
        <v>558</v>
      </c>
      <c r="H16" s="6">
        <f>+H15-H14</f>
        <v>551</v>
      </c>
      <c r="I16" s="6">
        <f>+I15-I14</f>
        <v>0</v>
      </c>
      <c r="J16" s="6">
        <f>SUM(E16:I16)</f>
        <v>2266</v>
      </c>
      <c r="K16" s="6"/>
      <c r="L16" s="6"/>
      <c r="M16" s="6"/>
      <c r="N16" s="23"/>
      <c r="O16" s="23"/>
      <c r="P16" s="23"/>
      <c r="Q16" s="23"/>
    </row>
    <row r="17" spans="1:31" x14ac:dyDescent="0.25">
      <c r="A17" s="6"/>
      <c r="B17" s="6"/>
      <c r="C17" s="6"/>
      <c r="D17" s="6" t="s">
        <v>112</v>
      </c>
      <c r="E17" s="6"/>
      <c r="F17" s="6"/>
      <c r="G17" s="6"/>
      <c r="H17" s="6"/>
      <c r="I17" s="6"/>
      <c r="J17" s="6">
        <v>8945</v>
      </c>
      <c r="K17" s="6"/>
      <c r="L17" s="6" t="s">
        <v>256</v>
      </c>
      <c r="M17" s="6"/>
      <c r="N17" s="23">
        <v>0.28000000000000003</v>
      </c>
      <c r="O17" s="39">
        <v>25</v>
      </c>
      <c r="P17" s="23">
        <v>3.7999999999999999E-2</v>
      </c>
      <c r="Q17" s="23">
        <v>4.78</v>
      </c>
      <c r="R17" s="6"/>
      <c r="S17" s="23">
        <f>+J16*100</f>
        <v>226600</v>
      </c>
      <c r="T17" s="23">
        <f>+O17*1.02843*S17/1000000</f>
        <v>5.8260559499999989</v>
      </c>
      <c r="U17" s="139">
        <f>+T17/J18</f>
        <v>2.8743152599217435E-3</v>
      </c>
      <c r="V17" s="145">
        <f>(+N17)*(2*0.95*10000)/J17</f>
        <v>0.59474566797093353</v>
      </c>
      <c r="W17" s="23">
        <f>+J16*100</f>
        <v>226600</v>
      </c>
      <c r="X17" s="23">
        <f>+P17*W17/1000000</f>
        <v>8.6108000000000001E-3</v>
      </c>
      <c r="Y17" s="143">
        <f>+X17/J18*1000000</f>
        <v>4.2481833426495257</v>
      </c>
      <c r="Z17" s="51" t="s">
        <v>167</v>
      </c>
      <c r="AA17" s="51"/>
      <c r="AB17" s="51"/>
      <c r="AC17" s="51"/>
      <c r="AD17" s="6"/>
      <c r="AE17" s="6"/>
    </row>
    <row r="18" spans="1:31" x14ac:dyDescent="0.25">
      <c r="A18" s="6"/>
      <c r="B18" s="6"/>
      <c r="C18" s="6"/>
      <c r="D18" s="6" t="s">
        <v>114</v>
      </c>
      <c r="E18" s="6"/>
      <c r="F18" s="6"/>
      <c r="G18" s="6"/>
      <c r="H18" s="6"/>
      <c r="I18" s="6"/>
      <c r="J18" s="6">
        <f>+(J16*100*J17)/1000000</f>
        <v>2026.9369999999999</v>
      </c>
      <c r="K18" s="6"/>
      <c r="L18" s="6"/>
      <c r="M18" s="6"/>
      <c r="N18" s="23"/>
      <c r="O18" s="23"/>
      <c r="P18" s="23"/>
      <c r="Q18" s="23"/>
      <c r="Z18" s="6" t="s">
        <v>297</v>
      </c>
      <c r="AA18" s="51"/>
      <c r="AB18" s="51"/>
      <c r="AC18" s="51"/>
    </row>
    <row r="19" spans="1:31" x14ac:dyDescent="0.25">
      <c r="A19" s="6"/>
      <c r="B19" s="6"/>
      <c r="C19" s="6"/>
      <c r="D19" s="6" t="s">
        <v>115</v>
      </c>
      <c r="E19" s="6"/>
      <c r="F19" s="6"/>
      <c r="G19" s="6"/>
      <c r="H19" s="6"/>
      <c r="I19" s="6"/>
      <c r="J19" s="6">
        <f>+(J16*100*J17)/1000000/67*60</f>
        <v>1815.167462686567</v>
      </c>
      <c r="K19" s="41" t="s">
        <v>113</v>
      </c>
      <c r="L19" s="6"/>
      <c r="M19" s="6"/>
      <c r="N19" s="23"/>
      <c r="O19" s="23"/>
      <c r="P19" s="23"/>
      <c r="Q19" s="23"/>
      <c r="Z19" s="6"/>
      <c r="AA19" s="6"/>
      <c r="AB19" s="6"/>
      <c r="AC19" s="6"/>
    </row>
    <row r="21" spans="1:31" x14ac:dyDescent="0.25">
      <c r="A21" s="6" t="s">
        <v>136</v>
      </c>
      <c r="B21" s="6"/>
      <c r="C21" s="6"/>
      <c r="D21" s="6" t="s">
        <v>166</v>
      </c>
      <c r="E21" s="23" t="s">
        <v>67</v>
      </c>
      <c r="F21" s="23" t="s">
        <v>68</v>
      </c>
      <c r="G21" s="23" t="s">
        <v>175</v>
      </c>
      <c r="H21" s="23" t="s">
        <v>176</v>
      </c>
      <c r="I21" s="23"/>
      <c r="J21" s="27"/>
      <c r="K21" s="28"/>
      <c r="L21" s="23"/>
      <c r="M21" s="23"/>
      <c r="N21" s="23"/>
      <c r="O21" s="23"/>
      <c r="P21" s="23"/>
      <c r="Q21" s="23"/>
      <c r="R21" s="6"/>
      <c r="S21" s="23"/>
      <c r="T21" s="23"/>
      <c r="U21" s="23"/>
      <c r="V21" s="23"/>
      <c r="W21" s="23"/>
      <c r="X21" s="23"/>
      <c r="Y21" s="23"/>
      <c r="Z21" s="6"/>
      <c r="AA21" s="6"/>
      <c r="AB21" s="6"/>
      <c r="AC21" s="6"/>
      <c r="AD21" s="6"/>
      <c r="AE21" s="6"/>
    </row>
    <row r="22" spans="1:31" x14ac:dyDescent="0.25">
      <c r="A22" s="41">
        <v>1246</v>
      </c>
      <c r="B22" s="36">
        <v>1353</v>
      </c>
      <c r="C22" s="6"/>
      <c r="D22" s="6">
        <v>172</v>
      </c>
      <c r="E22" s="6">
        <v>524227</v>
      </c>
      <c r="F22" s="6">
        <v>509803</v>
      </c>
      <c r="G22" s="6">
        <v>660759</v>
      </c>
      <c r="H22" s="6">
        <v>78508</v>
      </c>
      <c r="I22" s="6"/>
      <c r="J22" s="6"/>
      <c r="K22" s="6"/>
      <c r="L22" s="6"/>
      <c r="M22" s="6"/>
      <c r="N22" s="6"/>
      <c r="O22" s="6"/>
      <c r="P22" s="6"/>
      <c r="Q22" s="6"/>
    </row>
    <row r="23" spans="1:31" x14ac:dyDescent="0.25">
      <c r="A23" s="6"/>
      <c r="B23" s="6"/>
      <c r="C23" s="6"/>
      <c r="D23" s="6"/>
      <c r="E23" s="6">
        <v>524798</v>
      </c>
      <c r="F23" s="6">
        <v>510365</v>
      </c>
      <c r="G23" s="6">
        <v>661307</v>
      </c>
      <c r="H23" s="6">
        <v>79050</v>
      </c>
      <c r="I23" s="6"/>
      <c r="J23" s="6"/>
      <c r="K23" s="6"/>
      <c r="L23" s="6"/>
      <c r="M23" s="6"/>
      <c r="N23" s="23"/>
      <c r="O23" s="23"/>
      <c r="P23" s="23"/>
      <c r="Q23" s="23"/>
    </row>
    <row r="24" spans="1:31" x14ac:dyDescent="0.25">
      <c r="A24" s="6"/>
      <c r="B24" s="6"/>
      <c r="C24" s="6"/>
      <c r="D24" s="6" t="s">
        <v>111</v>
      </c>
      <c r="E24" s="6">
        <f>+E23-E22</f>
        <v>571</v>
      </c>
      <c r="F24" s="6">
        <f>+F23-F22</f>
        <v>562</v>
      </c>
      <c r="G24" s="6">
        <f>+G23-G22</f>
        <v>548</v>
      </c>
      <c r="H24" s="6">
        <f>+H23-H22</f>
        <v>542</v>
      </c>
      <c r="I24" s="6">
        <f>+I23-I22</f>
        <v>0</v>
      </c>
      <c r="J24" s="6">
        <f>SUM(E24:I24)</f>
        <v>2223</v>
      </c>
      <c r="K24" s="6"/>
      <c r="L24" s="6"/>
      <c r="M24" s="6"/>
      <c r="N24" s="23"/>
      <c r="O24" s="23"/>
      <c r="P24" s="23"/>
      <c r="Q24" s="23"/>
    </row>
    <row r="25" spans="1:31" x14ac:dyDescent="0.25">
      <c r="A25" s="6"/>
      <c r="B25" s="6"/>
      <c r="C25" s="6"/>
      <c r="D25" s="6" t="s">
        <v>112</v>
      </c>
      <c r="E25" s="6"/>
      <c r="F25" s="6"/>
      <c r="G25" s="6"/>
      <c r="H25" s="6"/>
      <c r="I25" s="6"/>
      <c r="J25" s="6">
        <v>8945</v>
      </c>
      <c r="K25" s="6"/>
      <c r="L25" s="6" t="s">
        <v>256</v>
      </c>
      <c r="M25" s="6"/>
      <c r="N25" s="23">
        <v>0.28000000000000003</v>
      </c>
      <c r="O25" s="39">
        <v>25</v>
      </c>
      <c r="P25" s="23">
        <v>3.7999999999999999E-2</v>
      </c>
      <c r="Q25" s="23">
        <v>4.78</v>
      </c>
      <c r="R25" s="6"/>
      <c r="S25" s="23">
        <f>+J24*100</f>
        <v>222300</v>
      </c>
      <c r="T25" s="23">
        <f>+O25*1.02843*S25/1000000</f>
        <v>5.7154997249999999</v>
      </c>
      <c r="U25" s="139">
        <f>+T25/J26</f>
        <v>2.874315259921744E-3</v>
      </c>
      <c r="V25" s="145">
        <f>(+N25)*(2*0.95*10000)/J25</f>
        <v>0.59474566797093353</v>
      </c>
      <c r="W25" s="23">
        <f>+J24*100</f>
        <v>222300</v>
      </c>
      <c r="X25" s="23">
        <f>+P25*W25/1000000</f>
        <v>8.447399999999999E-3</v>
      </c>
      <c r="Y25" s="143">
        <f>+X25/J26*1000000</f>
        <v>4.2481833426495248</v>
      </c>
      <c r="Z25" s="51" t="s">
        <v>167</v>
      </c>
      <c r="AA25" s="51"/>
      <c r="AB25" s="51"/>
      <c r="AC25" s="51"/>
      <c r="AD25" s="6"/>
      <c r="AE25" s="6"/>
    </row>
    <row r="26" spans="1:31" x14ac:dyDescent="0.25">
      <c r="A26" s="6"/>
      <c r="B26" s="6"/>
      <c r="C26" s="6"/>
      <c r="D26" s="6" t="s">
        <v>114</v>
      </c>
      <c r="E26" s="6"/>
      <c r="F26" s="6"/>
      <c r="G26" s="6"/>
      <c r="H26" s="6"/>
      <c r="I26" s="6"/>
      <c r="J26" s="6">
        <f>+(J24*100*J25)/1000000</f>
        <v>1988.4735000000001</v>
      </c>
      <c r="K26" s="6"/>
      <c r="L26" s="6"/>
      <c r="M26" s="6"/>
      <c r="N26" s="23"/>
      <c r="O26" s="23"/>
      <c r="P26" s="23"/>
      <c r="Q26" s="23"/>
      <c r="Z26" s="6" t="s">
        <v>297</v>
      </c>
      <c r="AA26" s="51"/>
      <c r="AB26" s="51"/>
      <c r="AC26" s="51"/>
    </row>
    <row r="27" spans="1:31" x14ac:dyDescent="0.25">
      <c r="A27" s="6"/>
      <c r="B27" s="6"/>
      <c r="C27" s="6"/>
      <c r="D27" s="6" t="s">
        <v>115</v>
      </c>
      <c r="E27" s="6"/>
      <c r="F27" s="6"/>
      <c r="G27" s="6"/>
      <c r="H27" s="6"/>
      <c r="I27" s="6"/>
      <c r="J27" s="6">
        <f>+(J24*100*J25)/1000000/67*60</f>
        <v>1780.7225373134329</v>
      </c>
      <c r="K27" s="41" t="s">
        <v>113</v>
      </c>
      <c r="L27" s="6"/>
      <c r="M27" s="6"/>
      <c r="N27" s="23"/>
      <c r="O27" s="23"/>
      <c r="P27" s="23"/>
      <c r="Q27" s="23"/>
      <c r="Z27" s="6"/>
      <c r="AA27" s="6"/>
      <c r="AB27" s="6"/>
      <c r="AC27" s="6"/>
    </row>
    <row r="28" spans="1:31" ht="21" x14ac:dyDescent="0.35">
      <c r="A28" s="15" t="s">
        <v>321</v>
      </c>
    </row>
    <row r="29" spans="1:31" x14ac:dyDescent="0.25">
      <c r="A29" s="6" t="s">
        <v>138</v>
      </c>
      <c r="B29" s="6"/>
      <c r="C29" s="6"/>
      <c r="D29" s="6" t="s">
        <v>166</v>
      </c>
      <c r="E29" s="23" t="s">
        <v>67</v>
      </c>
      <c r="F29" s="23" t="s">
        <v>68</v>
      </c>
      <c r="G29" s="23" t="s">
        <v>175</v>
      </c>
      <c r="H29" s="23" t="s">
        <v>176</v>
      </c>
      <c r="I29" s="23"/>
      <c r="J29" s="27"/>
      <c r="K29" s="28"/>
      <c r="L29" s="23"/>
      <c r="M29" s="23"/>
      <c r="N29" s="23"/>
      <c r="O29" s="23"/>
      <c r="P29" s="23"/>
      <c r="Q29" s="23"/>
      <c r="R29" s="6"/>
      <c r="S29" s="23"/>
      <c r="T29" s="23"/>
      <c r="U29" s="23"/>
      <c r="V29" s="23"/>
      <c r="W29" s="23"/>
      <c r="X29" s="23"/>
      <c r="Y29" s="23"/>
      <c r="Z29" s="6"/>
      <c r="AA29" s="6"/>
      <c r="AB29" s="6"/>
      <c r="AC29" s="6"/>
      <c r="AD29" s="6"/>
      <c r="AE29" s="6"/>
    </row>
    <row r="30" spans="1:31" x14ac:dyDescent="0.25">
      <c r="A30" s="41">
        <v>902</v>
      </c>
      <c r="B30" s="36">
        <v>1019</v>
      </c>
      <c r="C30" s="6"/>
      <c r="D30" s="6">
        <v>80</v>
      </c>
      <c r="E30" s="6">
        <v>528023</v>
      </c>
      <c r="F30" s="6">
        <v>515456</v>
      </c>
      <c r="G30" s="6">
        <v>666897</v>
      </c>
      <c r="H30" s="6">
        <v>84638</v>
      </c>
      <c r="I30" s="6"/>
      <c r="J30" s="6"/>
      <c r="K30" s="6"/>
      <c r="L30" s="6"/>
      <c r="M30" s="6"/>
      <c r="N30" s="6"/>
      <c r="O30" s="6"/>
      <c r="P30" s="6"/>
      <c r="Q30" s="6"/>
    </row>
    <row r="31" spans="1:31" x14ac:dyDescent="0.25">
      <c r="A31" s="6"/>
      <c r="B31" s="6"/>
      <c r="C31" s="6"/>
      <c r="D31" s="6"/>
      <c r="E31" s="6">
        <v>528345</v>
      </c>
      <c r="F31" s="6">
        <v>515456</v>
      </c>
      <c r="G31" s="6">
        <v>667331</v>
      </c>
      <c r="H31" s="6">
        <v>85073</v>
      </c>
      <c r="I31" s="6"/>
      <c r="J31" s="6"/>
      <c r="K31" s="6"/>
      <c r="L31" s="6"/>
      <c r="M31" s="6"/>
      <c r="N31" s="23"/>
      <c r="O31" s="23"/>
      <c r="P31" s="23"/>
      <c r="Q31" s="23"/>
    </row>
    <row r="32" spans="1:31" x14ac:dyDescent="0.25">
      <c r="A32" s="6"/>
      <c r="B32" s="6"/>
      <c r="C32" s="6"/>
      <c r="D32" s="6" t="s">
        <v>111</v>
      </c>
      <c r="E32" s="6">
        <f>+E31-E30</f>
        <v>322</v>
      </c>
      <c r="F32" s="6">
        <f>+F31-F30</f>
        <v>0</v>
      </c>
      <c r="G32" s="6">
        <f>+G31-G30</f>
        <v>434</v>
      </c>
      <c r="H32" s="6">
        <f>+H31-H30</f>
        <v>435</v>
      </c>
      <c r="I32" s="6">
        <f>+I31-I30</f>
        <v>0</v>
      </c>
      <c r="J32" s="6">
        <f>SUM(E32:I32)</f>
        <v>1191</v>
      </c>
      <c r="K32" s="6"/>
      <c r="L32" s="6"/>
      <c r="M32" s="6"/>
      <c r="N32" s="23"/>
      <c r="O32" s="23"/>
      <c r="P32" s="23"/>
      <c r="Q32" s="23"/>
    </row>
    <row r="33" spans="1:31" x14ac:dyDescent="0.25">
      <c r="A33" s="6"/>
      <c r="B33" s="6"/>
      <c r="C33" s="6"/>
      <c r="D33" s="6" t="s">
        <v>112</v>
      </c>
      <c r="E33" s="6"/>
      <c r="F33" s="6"/>
      <c r="G33" s="6"/>
      <c r="H33" s="6"/>
      <c r="I33" s="6"/>
      <c r="J33" s="6">
        <v>8866</v>
      </c>
      <c r="K33" s="6"/>
      <c r="L33" s="6" t="s">
        <v>264</v>
      </c>
      <c r="M33" s="6"/>
      <c r="N33" s="23">
        <v>0.27</v>
      </c>
      <c r="O33" s="39">
        <v>25</v>
      </c>
      <c r="P33" s="23">
        <v>5.6000000000000001E-2</v>
      </c>
      <c r="Q33" s="23">
        <v>6.36</v>
      </c>
      <c r="R33" s="6"/>
      <c r="S33" s="23">
        <f>+J32*100</f>
        <v>119100</v>
      </c>
      <c r="T33" s="23">
        <f>+O33*1.02843*S33/1000000</f>
        <v>3.0621503249999997</v>
      </c>
      <c r="U33" s="139">
        <f>+T33/J34</f>
        <v>2.8999266862170087E-3</v>
      </c>
      <c r="V33" s="145">
        <f>(+N33)*(2*0.95*10000)/J33</f>
        <v>0.57861493345364312</v>
      </c>
      <c r="W33" s="23">
        <f>+J32*100</f>
        <v>119100</v>
      </c>
      <c r="X33" s="23">
        <f>+P33*W33/1000000</f>
        <v>6.6696000000000004E-3</v>
      </c>
      <c r="Y33" s="143">
        <f>+X33/J34*1000000</f>
        <v>6.3162643807805106</v>
      </c>
      <c r="Z33" s="51" t="s">
        <v>168</v>
      </c>
      <c r="AA33" s="51"/>
      <c r="AB33" s="51"/>
      <c r="AC33" s="51"/>
      <c r="AD33" s="6"/>
      <c r="AE33" s="6"/>
    </row>
    <row r="34" spans="1:31" x14ac:dyDescent="0.25">
      <c r="A34" s="6"/>
      <c r="B34" s="6"/>
      <c r="C34" s="6"/>
      <c r="D34" s="6" t="s">
        <v>114</v>
      </c>
      <c r="E34" s="6"/>
      <c r="F34" s="6"/>
      <c r="G34" s="6"/>
      <c r="H34" s="6"/>
      <c r="I34" s="6"/>
      <c r="J34" s="6">
        <f>+(J32*100*J33)/1000000</f>
        <v>1055.9405999999999</v>
      </c>
      <c r="K34" s="6"/>
      <c r="L34" s="6"/>
      <c r="M34" s="6"/>
      <c r="N34" s="23"/>
      <c r="O34" s="23"/>
      <c r="P34" s="23"/>
      <c r="Q34" s="23"/>
      <c r="Z34" s="6" t="s">
        <v>297</v>
      </c>
      <c r="AA34" s="51"/>
      <c r="AB34" s="51"/>
      <c r="AC34" s="51"/>
    </row>
    <row r="35" spans="1:31" x14ac:dyDescent="0.25">
      <c r="A35" s="6"/>
      <c r="B35" s="6"/>
      <c r="C35" s="6"/>
      <c r="D35" s="6" t="s">
        <v>115</v>
      </c>
      <c r="E35" s="6"/>
      <c r="F35" s="6"/>
      <c r="G35" s="6"/>
      <c r="H35" s="6"/>
      <c r="I35" s="6"/>
      <c r="J35" s="6">
        <f>+(J32*100*J33)/1000000/77*60</f>
        <v>822.810857142857</v>
      </c>
      <c r="K35" s="41" t="s">
        <v>113</v>
      </c>
      <c r="L35" s="6"/>
      <c r="M35" s="6"/>
      <c r="N35" s="23"/>
      <c r="O35" s="23"/>
      <c r="P35" s="23"/>
      <c r="Q35" s="23"/>
      <c r="Z35" s="6"/>
      <c r="AA35" s="6"/>
      <c r="AB35" s="6"/>
      <c r="AC35" s="6"/>
    </row>
    <row r="37" spans="1:31" x14ac:dyDescent="0.25">
      <c r="A37" s="6" t="s">
        <v>179</v>
      </c>
      <c r="B37" s="6"/>
      <c r="C37" s="6"/>
      <c r="D37" s="6" t="s">
        <v>166</v>
      </c>
      <c r="E37" s="23" t="s">
        <v>67</v>
      </c>
      <c r="F37" s="23" t="s">
        <v>68</v>
      </c>
      <c r="G37" s="23" t="s">
        <v>175</v>
      </c>
      <c r="H37" s="23" t="s">
        <v>176</v>
      </c>
      <c r="I37" s="23"/>
      <c r="J37" s="27"/>
      <c r="K37" s="28"/>
      <c r="L37" s="23"/>
      <c r="M37" s="23"/>
      <c r="N37" s="23"/>
      <c r="O37" s="23"/>
      <c r="P37" s="23"/>
      <c r="Q37" s="23"/>
      <c r="R37" s="6"/>
      <c r="S37" s="23"/>
      <c r="T37" s="23"/>
      <c r="U37" s="23"/>
      <c r="V37" s="23"/>
      <c r="W37" s="23"/>
      <c r="X37" s="23"/>
      <c r="Y37" s="23"/>
      <c r="Z37" s="6"/>
      <c r="AA37" s="6"/>
      <c r="AB37" s="6"/>
      <c r="AC37" s="6"/>
      <c r="AD37" s="6"/>
      <c r="AE37" s="6"/>
    </row>
    <row r="38" spans="1:31" x14ac:dyDescent="0.25">
      <c r="A38" s="41">
        <v>1432</v>
      </c>
      <c r="B38" s="36">
        <v>1520</v>
      </c>
      <c r="C38" s="6"/>
      <c r="D38" s="6">
        <v>130</v>
      </c>
      <c r="E38" s="6">
        <v>529660</v>
      </c>
      <c r="F38" s="6">
        <v>516675</v>
      </c>
      <c r="G38" s="6">
        <v>668816</v>
      </c>
      <c r="H38" s="6">
        <v>86556</v>
      </c>
      <c r="I38" s="6"/>
      <c r="J38" s="6"/>
      <c r="K38" s="6"/>
      <c r="L38" s="6"/>
      <c r="M38" s="6"/>
      <c r="N38" s="6"/>
      <c r="O38" s="6"/>
      <c r="P38" s="6"/>
      <c r="Q38" s="6"/>
    </row>
    <row r="39" spans="1:31" x14ac:dyDescent="0.25">
      <c r="A39" s="6"/>
      <c r="B39" s="6"/>
      <c r="C39" s="6"/>
      <c r="D39" s="6"/>
      <c r="E39" s="6">
        <v>529947</v>
      </c>
      <c r="F39" s="6">
        <v>517002</v>
      </c>
      <c r="G39" s="6">
        <v>669143</v>
      </c>
      <c r="H39" s="6">
        <v>86883</v>
      </c>
      <c r="I39" s="6"/>
      <c r="J39" s="6"/>
      <c r="K39" s="6"/>
      <c r="L39" s="6"/>
      <c r="M39" s="6"/>
      <c r="N39" s="23"/>
      <c r="O39" s="23"/>
      <c r="P39" s="23"/>
      <c r="Q39" s="23"/>
    </row>
    <row r="40" spans="1:31" x14ac:dyDescent="0.25">
      <c r="A40" s="6"/>
      <c r="B40" s="6"/>
      <c r="C40" s="6"/>
      <c r="D40" s="6" t="s">
        <v>111</v>
      </c>
      <c r="E40" s="6">
        <f>+E39-E38</f>
        <v>287</v>
      </c>
      <c r="F40" s="6">
        <f>+F39-F38</f>
        <v>327</v>
      </c>
      <c r="G40" s="6">
        <f>+G39-G38</f>
        <v>327</v>
      </c>
      <c r="H40" s="6">
        <f>+H39-H38</f>
        <v>327</v>
      </c>
      <c r="I40" s="6">
        <f>+I39-I38</f>
        <v>0</v>
      </c>
      <c r="J40" s="6">
        <f>SUM(E40:I40)</f>
        <v>1268</v>
      </c>
      <c r="K40" s="6"/>
      <c r="L40" s="6"/>
      <c r="M40" s="6"/>
      <c r="N40" s="23"/>
      <c r="O40" s="23"/>
      <c r="P40" s="23"/>
      <c r="Q40" s="23"/>
    </row>
    <row r="41" spans="1:31" x14ac:dyDescent="0.25">
      <c r="A41" s="6"/>
      <c r="B41" s="6"/>
      <c r="C41" s="6"/>
      <c r="D41" s="6" t="s">
        <v>112</v>
      </c>
      <c r="E41" s="6"/>
      <c r="F41" s="6"/>
      <c r="G41" s="6"/>
      <c r="H41" s="6"/>
      <c r="I41" s="6"/>
      <c r="J41" s="6">
        <v>8866</v>
      </c>
      <c r="K41" s="6"/>
      <c r="L41" s="6" t="s">
        <v>264</v>
      </c>
      <c r="M41" s="6"/>
      <c r="N41" s="23">
        <v>0.27</v>
      </c>
      <c r="O41" s="39">
        <v>25</v>
      </c>
      <c r="P41" s="23">
        <v>5.6000000000000001E-2</v>
      </c>
      <c r="Q41" s="23">
        <v>6.36</v>
      </c>
      <c r="R41" s="6"/>
      <c r="S41" s="23">
        <f>+J40*100</f>
        <v>126800</v>
      </c>
      <c r="T41" s="23">
        <f>+O41*1.02843*S41/1000000</f>
        <v>3.2601230999999995</v>
      </c>
      <c r="U41" s="139">
        <f>+T41/J42</f>
        <v>2.8999266862170078E-3</v>
      </c>
      <c r="V41" s="145">
        <f>(+N41)*(2*0.95*10000)/J41</f>
        <v>0.57861493345364312</v>
      </c>
      <c r="W41" s="23">
        <f>+J40*100</f>
        <v>126800</v>
      </c>
      <c r="X41" s="23">
        <f>+P41*W41/1000000</f>
        <v>7.1008E-3</v>
      </c>
      <c r="Y41" s="143">
        <f>+X41/J42*1000000</f>
        <v>6.3162643807805097</v>
      </c>
      <c r="Z41" s="51" t="s">
        <v>169</v>
      </c>
      <c r="AA41" s="6"/>
      <c r="AB41" s="6"/>
      <c r="AC41" s="6"/>
      <c r="AD41" s="6"/>
      <c r="AE41" s="6"/>
    </row>
    <row r="42" spans="1:31" x14ac:dyDescent="0.25">
      <c r="A42" s="6"/>
      <c r="B42" s="6"/>
      <c r="C42" s="6"/>
      <c r="D42" s="6" t="s">
        <v>114</v>
      </c>
      <c r="E42" s="6"/>
      <c r="F42" s="6"/>
      <c r="G42" s="6"/>
      <c r="H42" s="6"/>
      <c r="I42" s="6"/>
      <c r="J42" s="6">
        <f>+(J40*100*J41)/1000000</f>
        <v>1124.2088000000001</v>
      </c>
      <c r="K42" s="6"/>
      <c r="L42" s="6"/>
      <c r="M42" s="6"/>
      <c r="N42" s="23"/>
      <c r="O42" s="23"/>
      <c r="P42" s="23"/>
      <c r="Q42" s="23"/>
      <c r="Z42" s="6" t="s">
        <v>297</v>
      </c>
    </row>
    <row r="43" spans="1:31" x14ac:dyDescent="0.25">
      <c r="A43" s="6"/>
      <c r="B43" s="6"/>
      <c r="C43" s="6"/>
      <c r="D43" s="6" t="s">
        <v>115</v>
      </c>
      <c r="E43" s="6"/>
      <c r="F43" s="6"/>
      <c r="G43" s="6"/>
      <c r="H43" s="6"/>
      <c r="I43" s="6"/>
      <c r="J43" s="6">
        <f>+(J40*100*J41)/1000000/52*60</f>
        <v>1297.1640000000002</v>
      </c>
      <c r="K43" s="41" t="s">
        <v>113</v>
      </c>
      <c r="L43" s="6"/>
      <c r="M43" s="6"/>
      <c r="N43" s="23"/>
      <c r="O43" s="23"/>
      <c r="P43" s="23"/>
      <c r="Q43" s="23"/>
    </row>
    <row r="45" spans="1:31" x14ac:dyDescent="0.25">
      <c r="A45" s="6" t="s">
        <v>180</v>
      </c>
      <c r="B45" s="6"/>
      <c r="C45" s="6"/>
      <c r="D45" s="6" t="s">
        <v>166</v>
      </c>
      <c r="E45" s="23" t="s">
        <v>67</v>
      </c>
      <c r="F45" s="23" t="s">
        <v>68</v>
      </c>
      <c r="G45" s="23" t="s">
        <v>175</v>
      </c>
      <c r="H45" s="23" t="s">
        <v>176</v>
      </c>
      <c r="I45" s="23"/>
      <c r="J45" s="27"/>
      <c r="K45" s="28"/>
      <c r="L45" s="23"/>
      <c r="M45" s="23"/>
      <c r="N45" s="23"/>
      <c r="O45" s="23"/>
      <c r="P45" s="23"/>
      <c r="Q45" s="23"/>
      <c r="R45" s="6"/>
      <c r="S45" s="23"/>
      <c r="T45" s="23"/>
      <c r="U45" s="23"/>
      <c r="V45" s="23"/>
      <c r="W45" s="23"/>
      <c r="X45" s="23"/>
      <c r="Y45" s="23"/>
      <c r="Z45" s="6"/>
      <c r="AA45" s="6"/>
      <c r="AB45" s="6"/>
      <c r="AC45" s="6"/>
      <c r="AD45" s="6"/>
      <c r="AE45" s="6"/>
    </row>
    <row r="46" spans="1:31" x14ac:dyDescent="0.25">
      <c r="A46" s="41">
        <v>1610</v>
      </c>
      <c r="B46" s="36">
        <v>1705</v>
      </c>
      <c r="C46" s="6"/>
      <c r="D46" s="6">
        <v>130</v>
      </c>
      <c r="E46" s="6">
        <v>530215</v>
      </c>
      <c r="F46" s="6">
        <v>517309</v>
      </c>
      <c r="G46" s="6">
        <v>669451</v>
      </c>
      <c r="H46" s="6">
        <v>87190</v>
      </c>
      <c r="I46" s="6"/>
      <c r="J46" s="6"/>
      <c r="K46" s="6"/>
      <c r="L46" s="6"/>
      <c r="M46" s="6"/>
      <c r="N46" s="6"/>
      <c r="O46" s="6"/>
      <c r="P46" s="6"/>
      <c r="Q46" s="6"/>
    </row>
    <row r="47" spans="1:31" x14ac:dyDescent="0.25">
      <c r="A47" s="6"/>
      <c r="B47" s="6"/>
      <c r="C47" s="6"/>
      <c r="D47" s="6"/>
      <c r="E47" s="6">
        <v>530523</v>
      </c>
      <c r="F47" s="6">
        <v>517659</v>
      </c>
      <c r="G47" s="6">
        <v>669801</v>
      </c>
      <c r="H47" s="6">
        <v>87540</v>
      </c>
      <c r="I47" s="6"/>
      <c r="J47" s="6"/>
      <c r="K47" s="6"/>
      <c r="L47" s="6"/>
      <c r="M47" s="6"/>
      <c r="N47" s="23"/>
      <c r="O47" s="23"/>
      <c r="P47" s="23"/>
      <c r="Q47" s="23"/>
    </row>
    <row r="48" spans="1:31" x14ac:dyDescent="0.25">
      <c r="A48" s="6"/>
      <c r="B48" s="6"/>
      <c r="C48" s="6"/>
      <c r="D48" s="6" t="s">
        <v>111</v>
      </c>
      <c r="E48" s="6">
        <f>+E47-E46</f>
        <v>308</v>
      </c>
      <c r="F48" s="6">
        <f>+F47-F46</f>
        <v>350</v>
      </c>
      <c r="G48" s="6">
        <f>+G47-G46</f>
        <v>350</v>
      </c>
      <c r="H48" s="6">
        <f>+H47-H46</f>
        <v>350</v>
      </c>
      <c r="I48" s="6">
        <f>+I47-I46</f>
        <v>0</v>
      </c>
      <c r="J48" s="6">
        <f>SUM(E48:I48)</f>
        <v>1358</v>
      </c>
      <c r="K48" s="6"/>
      <c r="L48" s="6"/>
      <c r="M48" s="6"/>
      <c r="N48" s="23"/>
      <c r="O48" s="23"/>
      <c r="P48" s="23"/>
      <c r="Q48" s="23"/>
    </row>
    <row r="49" spans="1:31" x14ac:dyDescent="0.25">
      <c r="A49" s="6"/>
      <c r="B49" s="6"/>
      <c r="C49" s="6"/>
      <c r="D49" s="6" t="s">
        <v>112</v>
      </c>
      <c r="E49" s="6"/>
      <c r="F49" s="6"/>
      <c r="G49" s="6"/>
      <c r="H49" s="6"/>
      <c r="I49" s="6"/>
      <c r="J49" s="6">
        <v>8866</v>
      </c>
      <c r="K49" s="6"/>
      <c r="L49" s="6" t="s">
        <v>264</v>
      </c>
      <c r="M49" s="6"/>
      <c r="N49" s="23">
        <v>0.27</v>
      </c>
      <c r="O49" s="39">
        <v>25</v>
      </c>
      <c r="P49" s="23">
        <v>5.6000000000000001E-2</v>
      </c>
      <c r="Q49" s="23">
        <v>6.36</v>
      </c>
      <c r="R49" s="6"/>
      <c r="S49" s="23">
        <f>+J48*100</f>
        <v>135800</v>
      </c>
      <c r="T49" s="23">
        <f>+O49*1.02843*S49/1000000</f>
        <v>3.4915198499999995</v>
      </c>
      <c r="U49" s="139">
        <f>+T49/J50</f>
        <v>2.8999266862170083E-3</v>
      </c>
      <c r="V49" s="145">
        <f>(+N49)*(2*0.95*10000)/J49</f>
        <v>0.57861493345364312</v>
      </c>
      <c r="W49" s="23">
        <f>+J48*100</f>
        <v>135800</v>
      </c>
      <c r="X49" s="23">
        <f>+P49*W49/1000000</f>
        <v>7.6048000000000001E-3</v>
      </c>
      <c r="Y49" s="143">
        <f>+X49/J50*1000000</f>
        <v>6.3162643807805106</v>
      </c>
      <c r="Z49" s="51" t="s">
        <v>170</v>
      </c>
      <c r="AA49" s="6"/>
      <c r="AB49" s="6"/>
      <c r="AC49" s="6"/>
      <c r="AD49" s="6"/>
      <c r="AE49" s="6"/>
    </row>
    <row r="50" spans="1:31" x14ac:dyDescent="0.25">
      <c r="A50" s="6"/>
      <c r="B50" s="6"/>
      <c r="C50" s="6"/>
      <c r="D50" s="6" t="s">
        <v>114</v>
      </c>
      <c r="E50" s="6"/>
      <c r="F50" s="6"/>
      <c r="G50" s="6"/>
      <c r="H50" s="6"/>
      <c r="I50" s="6"/>
      <c r="J50" s="6">
        <f>+(J48*100*J49)/1000000</f>
        <v>1204.0028</v>
      </c>
      <c r="K50" s="6"/>
      <c r="L50" s="6"/>
      <c r="M50" s="6"/>
      <c r="N50" s="23"/>
      <c r="O50" s="23"/>
      <c r="P50" s="23"/>
      <c r="Q50" s="23"/>
      <c r="Z50" s="6" t="s">
        <v>297</v>
      </c>
    </row>
    <row r="51" spans="1:31" x14ac:dyDescent="0.25">
      <c r="A51" s="6"/>
      <c r="B51" s="6"/>
      <c r="C51" s="6"/>
      <c r="D51" s="6" t="s">
        <v>115</v>
      </c>
      <c r="E51" s="6"/>
      <c r="F51" s="6"/>
      <c r="G51" s="6"/>
      <c r="H51" s="6"/>
      <c r="I51" s="6"/>
      <c r="J51" s="6">
        <f>+(J48*100*J49)/1000000/55*60</f>
        <v>1313.4576</v>
      </c>
      <c r="K51" s="41" t="s">
        <v>113</v>
      </c>
      <c r="L51" s="6"/>
      <c r="M51" s="6"/>
      <c r="N51" s="23"/>
      <c r="O51" s="23"/>
      <c r="P51" s="23"/>
      <c r="Q51" s="23"/>
    </row>
    <row r="52" spans="1:31" ht="21" x14ac:dyDescent="0.35">
      <c r="A52" s="15" t="s">
        <v>322</v>
      </c>
    </row>
    <row r="53" spans="1:31" x14ac:dyDescent="0.25">
      <c r="A53" s="6" t="s">
        <v>139</v>
      </c>
      <c r="B53" s="6"/>
      <c r="C53" s="6"/>
      <c r="D53" s="6" t="s">
        <v>166</v>
      </c>
      <c r="E53" s="23" t="s">
        <v>67</v>
      </c>
      <c r="F53" s="23" t="s">
        <v>68</v>
      </c>
      <c r="G53" s="23" t="s">
        <v>175</v>
      </c>
      <c r="H53" s="23" t="s">
        <v>176</v>
      </c>
      <c r="I53" s="23"/>
      <c r="J53" s="27"/>
      <c r="K53" s="28"/>
      <c r="L53" s="23"/>
      <c r="M53" s="23"/>
      <c r="N53" s="23"/>
      <c r="O53" s="23"/>
      <c r="P53" s="23"/>
      <c r="Q53" s="23"/>
      <c r="R53" s="6"/>
      <c r="S53" s="23"/>
      <c r="T53" s="23"/>
      <c r="U53" s="23"/>
      <c r="V53" s="23"/>
      <c r="W53" s="23"/>
      <c r="X53" s="23"/>
      <c r="Y53" s="23"/>
      <c r="Z53" s="6"/>
      <c r="AA53" s="6"/>
      <c r="AB53" s="6"/>
      <c r="AC53" s="6"/>
      <c r="AD53" s="6"/>
      <c r="AE53" s="6"/>
    </row>
    <row r="54" spans="1:31" x14ac:dyDescent="0.25">
      <c r="A54" s="41">
        <v>810</v>
      </c>
      <c r="B54" s="36">
        <v>857</v>
      </c>
      <c r="C54" s="6"/>
      <c r="D54" s="6">
        <v>170</v>
      </c>
      <c r="E54" s="6">
        <v>534017</v>
      </c>
      <c r="F54" s="6">
        <v>522355</v>
      </c>
      <c r="G54" s="6">
        <v>674491</v>
      </c>
      <c r="H54" s="6">
        <v>92230</v>
      </c>
      <c r="I54" s="6"/>
      <c r="J54" s="6"/>
      <c r="K54" s="6"/>
      <c r="L54" s="6"/>
      <c r="M54" s="6"/>
      <c r="N54" s="6"/>
      <c r="O54" s="6"/>
      <c r="P54" s="6"/>
      <c r="Q54" s="6"/>
    </row>
    <row r="55" spans="1:31" x14ac:dyDescent="0.25">
      <c r="A55" s="6" t="s">
        <v>181</v>
      </c>
      <c r="B55" s="6"/>
      <c r="C55" s="6"/>
      <c r="D55" s="6"/>
      <c r="E55" s="6">
        <v>534400</v>
      </c>
      <c r="F55" s="6">
        <v>522740</v>
      </c>
      <c r="G55" s="6">
        <v>674868</v>
      </c>
      <c r="H55" s="6">
        <v>92608</v>
      </c>
      <c r="I55" s="6"/>
      <c r="J55" s="6"/>
      <c r="K55" s="6"/>
      <c r="L55" s="6"/>
      <c r="M55" s="6"/>
      <c r="N55" s="23"/>
      <c r="O55" s="23"/>
      <c r="P55" s="23"/>
      <c r="Q55" s="23"/>
    </row>
    <row r="56" spans="1:31" x14ac:dyDescent="0.25">
      <c r="A56" s="6" t="s">
        <v>182</v>
      </c>
      <c r="B56" s="6"/>
      <c r="C56" s="6"/>
      <c r="D56" s="6" t="s">
        <v>111</v>
      </c>
      <c r="E56" s="6">
        <f>+E55-E54</f>
        <v>383</v>
      </c>
      <c r="F56" s="6">
        <f>+F55-F54</f>
        <v>385</v>
      </c>
      <c r="G56" s="6">
        <f>+G55-G54</f>
        <v>377</v>
      </c>
      <c r="H56" s="6">
        <f>+H55-H54</f>
        <v>378</v>
      </c>
      <c r="I56" s="6">
        <f>+I55-I54</f>
        <v>0</v>
      </c>
      <c r="J56" s="6">
        <f>SUM(E56:I56)</f>
        <v>1523</v>
      </c>
      <c r="K56" s="6"/>
      <c r="L56" s="6"/>
      <c r="M56" s="6"/>
      <c r="N56" s="23"/>
      <c r="O56" s="23"/>
      <c r="P56" s="23"/>
      <c r="Q56" s="23"/>
    </row>
    <row r="57" spans="1:31" x14ac:dyDescent="0.25">
      <c r="A57" s="6"/>
      <c r="B57" s="6"/>
      <c r="C57" s="6"/>
      <c r="D57" s="6" t="s">
        <v>112</v>
      </c>
      <c r="E57" s="6"/>
      <c r="F57" s="6"/>
      <c r="G57" s="6"/>
      <c r="H57" s="6"/>
      <c r="I57" s="6"/>
      <c r="J57" s="6">
        <v>8626</v>
      </c>
      <c r="K57" s="6"/>
      <c r="L57" s="6" t="s">
        <v>279</v>
      </c>
      <c r="M57" s="6"/>
      <c r="N57" s="23">
        <v>0.28000000000000003</v>
      </c>
      <c r="O57" s="23">
        <v>65</v>
      </c>
      <c r="P57" s="23">
        <v>4.9000000000000002E-2</v>
      </c>
      <c r="Q57" s="23">
        <v>6.9</v>
      </c>
      <c r="R57" s="6"/>
      <c r="S57" s="23">
        <f>+J56*100</f>
        <v>152300</v>
      </c>
      <c r="T57" s="23">
        <f>+O57*1.02843*S57/1000000</f>
        <v>10.180942785000001</v>
      </c>
      <c r="U57" s="139">
        <f>+T57/J58</f>
        <v>7.7495884535126363E-3</v>
      </c>
      <c r="V57" s="145">
        <f>(+N57)*(2*0.95*10000)/J57</f>
        <v>0.616740088105727</v>
      </c>
      <c r="W57" s="23">
        <f>+J56*100</f>
        <v>152300</v>
      </c>
      <c r="X57" s="23">
        <f>+P57*W57/1000000</f>
        <v>7.4627000000000009E-3</v>
      </c>
      <c r="Y57" s="143">
        <f>+X57/J58*1000000</f>
        <v>5.6805008115001172</v>
      </c>
      <c r="Z57" s="51" t="s">
        <v>172</v>
      </c>
      <c r="AA57" s="6"/>
      <c r="AB57" s="6"/>
      <c r="AC57" s="6"/>
      <c r="AD57" s="6"/>
      <c r="AE57" s="6"/>
    </row>
    <row r="58" spans="1:31" x14ac:dyDescent="0.25">
      <c r="A58" s="6"/>
      <c r="B58" s="6"/>
      <c r="C58" s="6"/>
      <c r="D58" s="6" t="s">
        <v>114</v>
      </c>
      <c r="E58" s="6"/>
      <c r="F58" s="6"/>
      <c r="G58" s="6"/>
      <c r="H58" s="6"/>
      <c r="I58" s="6"/>
      <c r="J58" s="6">
        <f>+(J56*100*J57)/1000000</f>
        <v>1313.7398000000001</v>
      </c>
      <c r="K58" s="6"/>
      <c r="L58" s="6"/>
      <c r="M58" s="6"/>
      <c r="N58" s="23"/>
      <c r="O58" s="23"/>
      <c r="P58" s="23"/>
      <c r="Q58" s="23"/>
      <c r="Z58" s="6" t="s">
        <v>297</v>
      </c>
    </row>
    <row r="59" spans="1:31" x14ac:dyDescent="0.25">
      <c r="A59" s="6"/>
      <c r="B59" s="6"/>
      <c r="C59" s="6"/>
      <c r="D59" s="6" t="s">
        <v>115</v>
      </c>
      <c r="E59" s="6"/>
      <c r="F59" s="6"/>
      <c r="G59" s="6"/>
      <c r="H59" s="6"/>
      <c r="I59" s="6"/>
      <c r="J59" s="6">
        <f>+(J56*100*J57)/1000000/47*60</f>
        <v>1677.1146382978725</v>
      </c>
      <c r="K59" s="41" t="s">
        <v>113</v>
      </c>
      <c r="L59" s="6"/>
      <c r="M59" s="6"/>
      <c r="N59" s="23"/>
      <c r="O59" s="23"/>
      <c r="P59" s="23"/>
      <c r="Q59" s="23"/>
    </row>
    <row r="61" spans="1:31" x14ac:dyDescent="0.25">
      <c r="A61" s="6" t="s">
        <v>183</v>
      </c>
      <c r="B61" s="6"/>
      <c r="C61" s="6"/>
      <c r="D61" s="6" t="s">
        <v>166</v>
      </c>
      <c r="E61" s="23" t="s">
        <v>67</v>
      </c>
      <c r="F61" s="23" t="s">
        <v>68</v>
      </c>
      <c r="G61" s="23" t="s">
        <v>175</v>
      </c>
      <c r="H61" s="23" t="s">
        <v>176</v>
      </c>
      <c r="I61" s="23"/>
      <c r="J61" s="27"/>
      <c r="K61" s="28"/>
      <c r="L61" s="23"/>
      <c r="M61" s="23"/>
      <c r="N61" s="23"/>
      <c r="O61" s="23"/>
      <c r="P61" s="23"/>
      <c r="Q61" s="23"/>
      <c r="R61" s="6"/>
      <c r="S61" s="23"/>
      <c r="T61" s="23"/>
      <c r="U61" s="23"/>
      <c r="V61" s="23"/>
      <c r="W61" s="23"/>
      <c r="X61" s="23"/>
      <c r="Y61" s="23"/>
      <c r="Z61" s="6"/>
      <c r="AA61" s="6"/>
      <c r="AB61" s="6"/>
      <c r="AC61" s="6"/>
      <c r="AD61" s="6"/>
      <c r="AE61" s="6"/>
    </row>
    <row r="62" spans="1:31" x14ac:dyDescent="0.25">
      <c r="A62" s="41">
        <v>920</v>
      </c>
      <c r="B62" s="36">
        <v>1019</v>
      </c>
      <c r="C62" s="6"/>
      <c r="D62" s="6">
        <v>160</v>
      </c>
      <c r="E62" s="6">
        <v>534573</v>
      </c>
      <c r="F62" s="6">
        <v>522912</v>
      </c>
      <c r="G62" s="6">
        <v>675021</v>
      </c>
      <c r="H62" s="6">
        <v>92776</v>
      </c>
      <c r="I62" s="6"/>
      <c r="J62" s="6"/>
      <c r="K62" s="6"/>
      <c r="L62" s="6"/>
      <c r="M62" s="6"/>
      <c r="N62" s="6"/>
      <c r="O62" s="6"/>
      <c r="P62" s="6"/>
      <c r="Q62" s="6"/>
    </row>
    <row r="63" spans="1:31" x14ac:dyDescent="0.25">
      <c r="A63" s="6" t="s">
        <v>181</v>
      </c>
      <c r="B63" s="6"/>
      <c r="C63" s="6"/>
      <c r="D63" s="6"/>
      <c r="E63" s="6">
        <v>535051</v>
      </c>
      <c r="F63" s="6">
        <v>523397</v>
      </c>
      <c r="G63" s="6">
        <v>675418</v>
      </c>
      <c r="H63" s="6">
        <v>93243</v>
      </c>
      <c r="I63" s="6"/>
      <c r="J63" s="6"/>
      <c r="K63" s="6"/>
      <c r="L63" s="6"/>
      <c r="M63" s="6"/>
      <c r="N63" s="23"/>
      <c r="O63" s="23"/>
      <c r="P63" s="23"/>
      <c r="Q63" s="23"/>
    </row>
    <row r="64" spans="1:31" x14ac:dyDescent="0.25">
      <c r="A64" s="6" t="s">
        <v>182</v>
      </c>
      <c r="B64" s="6"/>
      <c r="C64" s="6"/>
      <c r="D64" s="6" t="s">
        <v>111</v>
      </c>
      <c r="E64" s="6">
        <f>+E63-E62</f>
        <v>478</v>
      </c>
      <c r="F64" s="6">
        <f>+F63-F62</f>
        <v>485</v>
      </c>
      <c r="G64" s="6">
        <f>+G63-G62</f>
        <v>397</v>
      </c>
      <c r="H64" s="6">
        <f>+H63-H62</f>
        <v>467</v>
      </c>
      <c r="I64" s="6">
        <f>+I63-I62</f>
        <v>0</v>
      </c>
      <c r="J64" s="6">
        <f>SUM(E64:I64)</f>
        <v>1827</v>
      </c>
      <c r="K64" s="6"/>
      <c r="L64" s="6"/>
      <c r="M64" s="6"/>
      <c r="N64" s="23"/>
      <c r="O64" s="23"/>
      <c r="P64" s="23"/>
      <c r="Q64" s="23"/>
    </row>
    <row r="65" spans="1:31" x14ac:dyDescent="0.25">
      <c r="A65" s="6"/>
      <c r="B65" s="6"/>
      <c r="C65" s="6"/>
      <c r="D65" s="6" t="s">
        <v>112</v>
      </c>
      <c r="E65" s="6"/>
      <c r="F65" s="6"/>
      <c r="G65" s="6"/>
      <c r="H65" s="6"/>
      <c r="I65" s="6"/>
      <c r="J65" s="6">
        <v>8626</v>
      </c>
      <c r="K65" s="6"/>
      <c r="L65" s="6" t="s">
        <v>279</v>
      </c>
      <c r="M65" s="6"/>
      <c r="N65" s="23">
        <v>0.28000000000000003</v>
      </c>
      <c r="O65" s="23">
        <v>65</v>
      </c>
      <c r="P65" s="23">
        <v>4.9000000000000002E-2</v>
      </c>
      <c r="Q65" s="23">
        <v>6.9</v>
      </c>
      <c r="R65" s="6"/>
      <c r="S65" s="23">
        <f>+J64*100</f>
        <v>182700</v>
      </c>
      <c r="T65" s="23">
        <f>+O65*1.02843*S65/1000000</f>
        <v>12.213120464999999</v>
      </c>
      <c r="U65" s="139">
        <f>+T65/J66</f>
        <v>7.7495884535126363E-3</v>
      </c>
      <c r="V65" s="145">
        <f>(+N65)*(2*0.95*10000)/J65</f>
        <v>0.616740088105727</v>
      </c>
      <c r="W65" s="23">
        <f>+J64*100</f>
        <v>182700</v>
      </c>
      <c r="X65" s="23">
        <f>+P65*W65/1000000</f>
        <v>8.9523000000000016E-3</v>
      </c>
      <c r="Y65" s="143">
        <f>+X65/J66*1000000</f>
        <v>5.6805008115001172</v>
      </c>
      <c r="Z65" s="51" t="s">
        <v>171</v>
      </c>
      <c r="AA65" s="6"/>
      <c r="AB65" s="6"/>
      <c r="AC65" s="6"/>
      <c r="AD65" s="6"/>
      <c r="AE65" s="6"/>
    </row>
    <row r="66" spans="1:31" x14ac:dyDescent="0.25">
      <c r="A66" s="6"/>
      <c r="B66" s="6"/>
      <c r="C66" s="6"/>
      <c r="D66" s="6" t="s">
        <v>114</v>
      </c>
      <c r="E66" s="6"/>
      <c r="F66" s="6"/>
      <c r="G66" s="6"/>
      <c r="H66" s="6"/>
      <c r="I66" s="6"/>
      <c r="J66" s="6">
        <f>+(J64*100*J65)/1000000</f>
        <v>1575.9702</v>
      </c>
      <c r="K66" s="6"/>
      <c r="L66" s="6"/>
      <c r="M66" s="6"/>
      <c r="N66" s="23"/>
      <c r="O66" s="23"/>
      <c r="P66" s="23"/>
      <c r="Q66" s="23"/>
      <c r="Z66" s="6" t="s">
        <v>297</v>
      </c>
    </row>
    <row r="67" spans="1:31" x14ac:dyDescent="0.25">
      <c r="A67" s="6"/>
      <c r="B67" s="6"/>
      <c r="C67" s="6"/>
      <c r="D67" s="6" t="s">
        <v>115</v>
      </c>
      <c r="E67" s="6"/>
      <c r="F67" s="6"/>
      <c r="G67" s="6"/>
      <c r="H67" s="6"/>
      <c r="I67" s="6"/>
      <c r="J67" s="6">
        <f>+(J64*100*J65)/1000000/59*60</f>
        <v>1602.6815593220338</v>
      </c>
      <c r="K67" s="41" t="s">
        <v>113</v>
      </c>
      <c r="L67" s="6"/>
      <c r="M67" s="6"/>
      <c r="N67" s="23"/>
      <c r="O67" s="23"/>
      <c r="P67" s="23"/>
      <c r="Q67" s="23"/>
    </row>
  </sheetData>
  <sheetProtection password="C02E" sheet="1" objects="1" scenarios="1"/>
  <pageMargins left="0.45" right="0" top="0.45" bottom="0" header="0.3" footer="0"/>
  <pageSetup paperSize="3"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6" sqref="Q26"/>
    </sheetView>
  </sheetViews>
  <sheetFormatPr defaultRowHeight="15" x14ac:dyDescent="0.25"/>
  <sheetData/>
  <sheetProtection password="C02E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Executive Summary</vt:lpstr>
      <vt:lpstr>Smith 2 Run Summary</vt:lpstr>
      <vt:lpstr>Smith 2 Fuel Plus</vt:lpstr>
      <vt:lpstr>Smith 1 Run Summary</vt:lpstr>
      <vt:lpstr>Smith 1 Fuel Plus</vt:lpstr>
      <vt:lpstr>Hg Control Graph</vt:lpstr>
      <vt:lpstr>Sheet1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Waters, G. Dwain</dc:creator>
  <cp:lastModifiedBy>Waters, G. Dwain</cp:lastModifiedBy>
  <cp:lastPrinted>2014-04-04T20:19:06Z</cp:lastPrinted>
  <dcterms:created xsi:type="dcterms:W3CDTF">2014-02-02T15:02:22Z</dcterms:created>
  <dcterms:modified xsi:type="dcterms:W3CDTF">2014-04-10T13:19:18Z</dcterms:modified>
</cp:coreProperties>
</file>