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ustomProperty1.bin" ContentType="application/vnd.openxmlformats-officedocument.spreadsheetml.customProperty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1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75" yWindow="405" windowWidth="14685" windowHeight="5790" tabRatio="942" activeTab="0"/>
  </bookViews>
  <sheets>
    <sheet name="Summary-PSD" sheetId="1" r:id="rId1"/>
    <sheet name="Calculations production" sheetId="2" r:id="rId2"/>
    <sheet name="Calculations emission" sheetId="3" r:id="rId3"/>
    <sheet name="EF EF" sheetId="4" r:id="rId4"/>
    <sheet name="TDF EF" sheetId="5" r:id="rId5"/>
    <sheet name="Roof EF" sheetId="6" r:id="rId6"/>
    <sheet name="PL EF" sheetId="7" r:id="rId7"/>
    <sheet name="AB EF" sheetId="8" r:id="rId8"/>
    <sheet name="WB EF" sheetId="9" r:id="rId9"/>
    <sheet name="CDF EF" sheetId="10" r:id="rId10"/>
    <sheet name="PB EF" sheetId="11" r:id="rId11"/>
    <sheet name="PSD New Unit-pot emiss" sheetId="12" r:id="rId12"/>
    <sheet name="SO2- other kilns" sheetId="13" state="hidden" r:id="rId13"/>
    <sheet name="DV-IDENTITY-0" sheetId="14" state="veryHidden" r:id="rId14"/>
  </sheets>
  <externalReferences>
    <externalReference r:id="rId17"/>
    <externalReference r:id="rId18"/>
    <externalReference r:id="rId19"/>
    <externalReference r:id="rId20"/>
    <externalReference r:id="rId21"/>
  </externalReferences>
  <definedNames>
    <definedName name="_Fill" localSheetId="7" hidden="1">'[1]Summary'!#REF!</definedName>
    <definedName name="_Fill" localSheetId="2" hidden="1">'[1]Summary'!#REF!</definedName>
    <definedName name="_Fill" localSheetId="10" hidden="1">'[1]Summary'!#REF!</definedName>
    <definedName name="_Fill" localSheetId="6" hidden="1">'[1]Summary'!#REF!</definedName>
    <definedName name="_Fill" localSheetId="11" hidden="1">'[2]Summary'!#REF!</definedName>
    <definedName name="_Fill" localSheetId="5" hidden="1">'[1]Summary'!#REF!</definedName>
    <definedName name="_Fill" localSheetId="0" hidden="1">'[1]Summary'!#REF!</definedName>
    <definedName name="_Fill" localSheetId="8" hidden="1">'[1]Summary'!#REF!</definedName>
    <definedName name="_Fill" hidden="1">'[1]Summary'!#REF!</definedName>
    <definedName name="CRITERIA" localSheetId="7">'[4]Process Fugitives'!#REF!</definedName>
    <definedName name="CRITERIA" localSheetId="2">'[4]Process Fugitives'!#REF!</definedName>
    <definedName name="CRITERIA" localSheetId="10">'[4]Process Fugitives'!#REF!</definedName>
    <definedName name="CRITERIA" localSheetId="6">'[4]Process Fugitives'!#REF!</definedName>
    <definedName name="CRITERIA" localSheetId="11">'[3]Process Fugitives'!#REF!</definedName>
    <definedName name="CRITERIA" localSheetId="5">'[4]Process Fugitives'!#REF!</definedName>
    <definedName name="CRITERIA" localSheetId="0">'[4]Process Fugitives'!#REF!</definedName>
    <definedName name="CRITERIA" localSheetId="8">'[4]Process Fugitives'!#REF!</definedName>
    <definedName name="CRITERIA">'[4]Process Fugitives'!#REF!</definedName>
    <definedName name="DataCO">OFFSET('[5]ChartData'!$B$1,'[5]Charts'!$B$38,3,'[5]Charts'!$B$39,1)</definedName>
    <definedName name="DataNOx">OFFSET('[5]ChartData'!$B$1,'[5]Charts'!$B$38,2,'[5]Charts'!$B$39,1)</definedName>
    <definedName name="DataSO2">OFFSET('[5]ChartData'!$B$1,'[5]Charts'!$B$38,1,'[5]Charts'!$B$39,1)</definedName>
    <definedName name="DataVOC">OFFSET('[5]ChartData'!$B$1,'[5]Charts'!$B$38,4,'[5]Charts'!$B$39,1)</definedName>
    <definedName name="_xlnm.Print_Area" localSheetId="1">'Calculations production'!$A$1:$AP$35</definedName>
    <definedName name="_xlnm.Print_Area" localSheetId="9">'CDF EF'!$A$1:$L$14</definedName>
    <definedName name="_xlnm.Print_Area" localSheetId="3">'EF EF'!$A$1:$L$17</definedName>
    <definedName name="_xlnm.Print_Area" localSheetId="0">'Summary-PSD'!$B$3:$R$68</definedName>
    <definedName name="_xlnm.Print_Area" localSheetId="4">'TDF EF'!$A$1:$L$13</definedName>
    <definedName name="YearLabel">OFFSET('[5]ChartData'!$B$1,'[5]Charts'!$B$38,0,'[5]Charts'!$B$39,1)</definedName>
    <definedName name="Z_0C4BE66D_BE55_461B_B8D6_F4E0806506E5_.wvu.PrintArea" localSheetId="0" hidden="1">'Summary-PSD'!$B$3:$R$68</definedName>
  </definedNames>
  <calcPr fullCalcOnLoad="1"/>
</workbook>
</file>

<file path=xl/sharedStrings.xml><?xml version="1.0" encoding="utf-8"?>
<sst xmlns="http://schemas.openxmlformats.org/spreadsheetml/2006/main" count="749" uniqueCount="213">
  <si>
    <t>--</t>
  </si>
  <si>
    <t>a.</t>
  </si>
  <si>
    <t>b.</t>
  </si>
  <si>
    <t>CO</t>
  </si>
  <si>
    <t>Year</t>
  </si>
  <si>
    <r>
      <t>Coal</t>
    </r>
    <r>
      <rPr>
        <vertAlign val="superscript"/>
        <sz val="11"/>
        <color indexed="8"/>
        <rFont val="Calibri"/>
        <family val="2"/>
      </rPr>
      <t>a</t>
    </r>
  </si>
  <si>
    <t>Total Heat Input</t>
  </si>
  <si>
    <t>Clinker Production</t>
  </si>
  <si>
    <r>
      <t>NO</t>
    </r>
    <r>
      <rPr>
        <b/>
        <vertAlign val="subscript"/>
        <sz val="12"/>
        <color indexed="8"/>
        <rFont val="Calibri"/>
        <family val="2"/>
      </rPr>
      <t>x</t>
    </r>
  </si>
  <si>
    <t>Step</t>
  </si>
  <si>
    <t>Action/Task</t>
  </si>
  <si>
    <t>Unit of Measurement</t>
  </si>
  <si>
    <t>% of Total Throughput</t>
  </si>
  <si>
    <t>PM Emission Factor</t>
  </si>
  <si>
    <r>
      <t>PM</t>
    </r>
    <r>
      <rPr>
        <vertAlign val="subscript"/>
        <sz val="11"/>
        <color indexed="8"/>
        <rFont val="Calibri"/>
        <family val="2"/>
      </rPr>
      <t>10</t>
    </r>
    <r>
      <rPr>
        <sz val="11"/>
        <color theme="1"/>
        <rFont val="Calibri"/>
        <family val="2"/>
      </rPr>
      <t xml:space="preserve"> Emission Factor</t>
    </r>
  </si>
  <si>
    <r>
      <t>PM</t>
    </r>
    <r>
      <rPr>
        <sz val="11"/>
        <color theme="1"/>
        <rFont val="Calibri"/>
        <family val="2"/>
      </rPr>
      <t xml:space="preserve"> Emissions</t>
    </r>
  </si>
  <si>
    <t>negligible, stored under cover</t>
  </si>
  <si>
    <t>negligible, fully enclosed</t>
  </si>
  <si>
    <t xml:space="preserve">Total: </t>
  </si>
  <si>
    <t>Sample Calculations:</t>
  </si>
  <si>
    <r>
      <t>PM</t>
    </r>
    <r>
      <rPr>
        <vertAlign val="subscript"/>
        <sz val="11"/>
        <color indexed="8"/>
        <rFont val="Calibri"/>
        <family val="2"/>
      </rPr>
      <t>10</t>
    </r>
    <r>
      <rPr>
        <sz val="11"/>
        <color theme="1"/>
        <rFont val="Calibri"/>
        <family val="2"/>
      </rPr>
      <t xml:space="preserve"> Emissions</t>
    </r>
  </si>
  <si>
    <t>2009:</t>
  </si>
  <si>
    <t>2010:</t>
  </si>
  <si>
    <t>Preheater Feed</t>
  </si>
  <si>
    <r>
      <t>Natural Gas</t>
    </r>
    <r>
      <rPr>
        <vertAlign val="superscript"/>
        <sz val="11"/>
        <color indexed="8"/>
        <rFont val="Calibri"/>
        <family val="2"/>
      </rPr>
      <t>a</t>
    </r>
  </si>
  <si>
    <t>2011:</t>
  </si>
  <si>
    <t>(tons/year)</t>
  </si>
  <si>
    <t>AAAAAEud18Q=</t>
  </si>
  <si>
    <t>AAAAAEud18U=</t>
  </si>
  <si>
    <t>AAAAAEud18Y=</t>
  </si>
  <si>
    <t>AAAAAEud18c=</t>
  </si>
  <si>
    <t>AAAAAEud18g=</t>
  </si>
  <si>
    <t>2012:</t>
  </si>
  <si>
    <t>b. Preheater feed estimated at a Clinker Production/Preheater Feed ratio of 0.6.</t>
  </si>
  <si>
    <r>
      <t>AFM Transport to Piles</t>
    </r>
    <r>
      <rPr>
        <vertAlign val="superscript"/>
        <sz val="11"/>
        <color indexed="8"/>
        <rFont val="Calibri"/>
        <family val="2"/>
      </rPr>
      <t>a</t>
    </r>
  </si>
  <si>
    <r>
      <t>Material Transport to a Injection System</t>
    </r>
    <r>
      <rPr>
        <vertAlign val="superscript"/>
        <sz val="11"/>
        <color indexed="8"/>
        <rFont val="Calibri"/>
        <family val="2"/>
      </rPr>
      <t>a</t>
    </r>
  </si>
  <si>
    <r>
      <t>Material Loaded into Hopper</t>
    </r>
    <r>
      <rPr>
        <vertAlign val="superscript"/>
        <sz val="11"/>
        <color indexed="8"/>
        <rFont val="Calibri"/>
        <family val="2"/>
      </rPr>
      <t>b</t>
    </r>
  </si>
  <si>
    <t>Transport to Calciner</t>
  </si>
  <si>
    <r>
      <t>CO</t>
    </r>
    <r>
      <rPr>
        <b/>
        <vertAlign val="subscript"/>
        <sz val="12"/>
        <color indexed="8"/>
        <rFont val="Calibri"/>
        <family val="2"/>
      </rPr>
      <t>2</t>
    </r>
  </si>
  <si>
    <r>
      <t>CH</t>
    </r>
    <r>
      <rPr>
        <b/>
        <vertAlign val="subscript"/>
        <sz val="12"/>
        <color indexed="8"/>
        <rFont val="Calibri"/>
        <family val="2"/>
      </rPr>
      <t>4</t>
    </r>
  </si>
  <si>
    <r>
      <t>N</t>
    </r>
    <r>
      <rPr>
        <b/>
        <vertAlign val="subscript"/>
        <sz val="12"/>
        <color indexed="8"/>
        <rFont val="Calibri"/>
        <family val="2"/>
      </rPr>
      <t>2</t>
    </r>
    <r>
      <rPr>
        <b/>
        <sz val="12"/>
        <color indexed="8"/>
        <rFont val="Calibri"/>
        <family val="2"/>
      </rPr>
      <t>O</t>
    </r>
  </si>
  <si>
    <t>PSD Baseline Emissions</t>
  </si>
  <si>
    <t>PSD Significance Level</t>
  </si>
  <si>
    <t>Carbon Monoxide (CEMs)</t>
  </si>
  <si>
    <t>Sulfur Dioxide (CEMs)</t>
  </si>
  <si>
    <t>Volatile Organic Compounds (CEMs)</t>
  </si>
  <si>
    <t>Calendar year data</t>
  </si>
  <si>
    <t>Is Sig. Level triggered?</t>
  </si>
  <si>
    <t>NO</t>
  </si>
  <si>
    <t>PSD Pollutant</t>
  </si>
  <si>
    <t>VOC/Ozone</t>
  </si>
  <si>
    <t>Are GHGs &gt; 75,000 CO2e (Subject to Regulation)?</t>
  </si>
  <si>
    <t>Baseline Actual Emissions (BAE)</t>
  </si>
  <si>
    <t xml:space="preserve">   New Unit (processing/handling and injection equip.).</t>
  </si>
  <si>
    <t>Projected Actual Emissions (PAE)</t>
  </si>
  <si>
    <r>
      <t>Nitrogen Oxides (CEMs)</t>
    </r>
    <r>
      <rPr>
        <b/>
        <vertAlign val="superscript"/>
        <sz val="11"/>
        <color indexed="8"/>
        <rFont val="Calibri"/>
        <family val="2"/>
      </rPr>
      <t>a</t>
    </r>
  </si>
  <si>
    <t>a: Lb/ton Clinker based on annual lbs of CEMs pollutant per annual tonnage clinker.</t>
  </si>
  <si>
    <t>PSD PM Baseline Emissions</t>
  </si>
  <si>
    <t>PSD PM10 Baseline Emiss.</t>
  </si>
  <si>
    <t>PSD PM2.5 Baseline Emiss.</t>
  </si>
  <si>
    <t xml:space="preserve">   ---Projected (Potential) Emiss.</t>
  </si>
  <si>
    <r>
      <t>PM</t>
    </r>
    <r>
      <rPr>
        <vertAlign val="subscript"/>
        <sz val="11"/>
        <color indexed="8"/>
        <rFont val="Calibri"/>
        <family val="2"/>
      </rPr>
      <t>2.5</t>
    </r>
    <r>
      <rPr>
        <sz val="11"/>
        <color theme="1"/>
        <rFont val="Calibri"/>
        <family val="2"/>
      </rPr>
      <t xml:space="preserve"> Emission Factor</t>
    </r>
  </si>
  <si>
    <t>Potential PM emissions from truck traffic from paved roads are calculated based on AP- 42, Chapter 13.2.1-1, Equation 2 and sample calculation a. above.</t>
  </si>
  <si>
    <t>Emission factors of screening, crushing, and conveying based on AP-42 Table 11.19.2-2. AFM PM factors assumed to have similar emissions to aggregate operation.  Controlled emission factors are used given the moisture content of AFM is greater than 5% which is considered "wet".</t>
  </si>
  <si>
    <r>
      <t>PM</t>
    </r>
    <r>
      <rPr>
        <vertAlign val="subscript"/>
        <sz val="11"/>
        <color indexed="8"/>
        <rFont val="Calibri"/>
        <family val="2"/>
      </rPr>
      <t>2.5</t>
    </r>
    <r>
      <rPr>
        <sz val="11"/>
        <color theme="1"/>
        <rFont val="Calibri"/>
        <family val="2"/>
      </rPr>
      <t xml:space="preserve"> Emissions</t>
    </r>
  </si>
  <si>
    <t>Carbon Dioxide Equivalent (CEMs + methane and nitrous oxide)</t>
  </si>
  <si>
    <r>
      <t>CO</t>
    </r>
    <r>
      <rPr>
        <b/>
        <vertAlign val="subscript"/>
        <sz val="12"/>
        <color indexed="8"/>
        <rFont val="Calibri"/>
        <family val="2"/>
      </rPr>
      <t>2e</t>
    </r>
    <r>
      <rPr>
        <b/>
        <vertAlign val="superscript"/>
        <sz val="12"/>
        <color indexed="8"/>
        <rFont val="Calibri"/>
        <family val="2"/>
      </rPr>
      <t>b</t>
    </r>
  </si>
  <si>
    <t>heat input</t>
  </si>
  <si>
    <r>
      <t>PM10</t>
    </r>
    <r>
      <rPr>
        <b/>
        <vertAlign val="superscript"/>
        <sz val="12"/>
        <color indexed="8"/>
        <rFont val="Calibri"/>
        <family val="2"/>
      </rPr>
      <t>a</t>
    </r>
  </si>
  <si>
    <r>
      <t>PM2.5</t>
    </r>
    <r>
      <rPr>
        <b/>
        <vertAlign val="superscript"/>
        <sz val="12"/>
        <color indexed="8"/>
        <rFont val="Calibri"/>
        <family val="2"/>
      </rPr>
      <t>a</t>
    </r>
  </si>
  <si>
    <t>PM</t>
  </si>
  <si>
    <t>MW of S</t>
  </si>
  <si>
    <r>
      <t>MW of SO</t>
    </r>
    <r>
      <rPr>
        <vertAlign val="subscript"/>
        <sz val="11"/>
        <color indexed="8"/>
        <rFont val="Calibri"/>
        <family val="2"/>
      </rPr>
      <t>2</t>
    </r>
  </si>
  <si>
    <t>adjusted PAE</t>
  </si>
  <si>
    <t>Exclude emissions from PAE that could have emitted during the baseline actual emissions and that are unrelated to the particular project.</t>
  </si>
  <si>
    <t>Projected clinker and heat input for Projected Actual Emissions (PAE)</t>
  </si>
  <si>
    <t>Cemex, Brooksville south, FL, Line 2</t>
  </si>
  <si>
    <t>Florida Rock Industries, Newberry, FL, Line 1</t>
  </si>
  <si>
    <t>Tarmac, Miami, FL</t>
  </si>
  <si>
    <t>Cemex, Miami, FL</t>
  </si>
  <si>
    <t>Suwannee American Cement, Branford, FL</t>
  </si>
  <si>
    <t>not operating</t>
  </si>
  <si>
    <t>Coal Burned (ton/yr)</t>
  </si>
  <si>
    <t>Percent reduction of SO2 from coal</t>
  </si>
  <si>
    <t>Total Average SO2 reduction from coal</t>
  </si>
  <si>
    <t>Note: percent reduction would be higher if sulfur in other fuels and raw materials were included.</t>
  </si>
  <si>
    <t>Total BAE</t>
  </si>
  <si>
    <t>Total PAE</t>
  </si>
  <si>
    <r>
      <t>PM (Method 5 test)</t>
    </r>
    <r>
      <rPr>
        <b/>
        <vertAlign val="superscript"/>
        <sz val="11"/>
        <color indexed="8"/>
        <rFont val="Calibri"/>
        <family val="2"/>
      </rPr>
      <t>a</t>
    </r>
  </si>
  <si>
    <t xml:space="preserve">    </t>
  </si>
  <si>
    <t xml:space="preserve"> </t>
  </si>
  <si>
    <t>coal burned data provided from Florida DEP, annual operating reporting</t>
  </si>
  <si>
    <t xml:space="preserve"> for filterable (0.25 lb/ton) and inorganic condensables (0.033 lb/ton). For example, 61.8 tn/yr PM x 0.132 (condensables) + 61.8 tn/yr x 0.84 (fraction of PM10 in filterable PM) = 60.1 ton/yr PM10.</t>
  </si>
  <si>
    <t>SO2 CEMs Emissions (ton/yr)</t>
  </si>
  <si>
    <t>4a</t>
  </si>
  <si>
    <t>4b</t>
  </si>
  <si>
    <r>
      <t>Secondary shredder/tertiary crushing</t>
    </r>
    <r>
      <rPr>
        <vertAlign val="superscript"/>
        <sz val="11"/>
        <color indexed="8"/>
        <rFont val="Calibri"/>
        <family val="2"/>
      </rPr>
      <t>b</t>
    </r>
  </si>
  <si>
    <r>
      <t>Primary Shredder/tertiary crushing</t>
    </r>
    <r>
      <rPr>
        <vertAlign val="superscript"/>
        <sz val="11"/>
        <color indexed="8"/>
        <rFont val="Calibri"/>
        <family val="2"/>
      </rPr>
      <t>b</t>
    </r>
  </si>
  <si>
    <r>
      <t>Tires</t>
    </r>
    <r>
      <rPr>
        <vertAlign val="superscript"/>
        <sz val="11"/>
        <color indexed="8"/>
        <rFont val="Calibri"/>
        <family val="2"/>
      </rPr>
      <t>a</t>
    </r>
  </si>
  <si>
    <t>2013:</t>
  </si>
  <si>
    <t xml:space="preserve">  </t>
  </si>
  <si>
    <t xml:space="preserve">       ---Baseline (Potential) Emiss.</t>
  </si>
  <si>
    <t xml:space="preserve">PM10 calculated as 84% and PM2.5 as 45% of filterable PM based on Table 11.6-5 of AP 42 for controlled (dry process with fabric filter) emissions. AP-42 has no size ratios for ESPs. </t>
  </si>
  <si>
    <t>AP-42 has no breakdown for filterable/condensable data for ESPs.</t>
  </si>
  <si>
    <t>To account for condensable PM, the amount of stack-test measured filterable PM is increased by 13.2% to account for total PM.   The fraction of 13.2 % is determined by SCC 3-05-006-22 in Table 11.6.-2</t>
  </si>
  <si>
    <t>Method 5 does not measure condensables. Condesnables accounted for in summary calculations for PSD Table.</t>
  </si>
  <si>
    <t>clinker</t>
  </si>
  <si>
    <t>Kiln 1 - Baseline Actual Emissions</t>
  </si>
  <si>
    <t>Kiln 2 - Baseline Actual Emissions</t>
  </si>
  <si>
    <t>Project (Kiln 1+2) Baseline Actual Emissions</t>
  </si>
  <si>
    <t>Project (Kiln 1 + 2) Past Operational Data</t>
  </si>
  <si>
    <t>Kiln 2 Past Operational Data</t>
  </si>
  <si>
    <t>Kiln 1 Past Operational Data</t>
  </si>
  <si>
    <t>Kiln 1 - Historical Emissions Data</t>
  </si>
  <si>
    <t>Kiln 2 - Historical Emissions Data</t>
  </si>
  <si>
    <t>Kiln 1+2 - Historical Emissions Data</t>
  </si>
  <si>
    <t>2012-2013</t>
  </si>
  <si>
    <t>average 2009-2013</t>
  </si>
  <si>
    <t>avg 2010(partial year)-2013</t>
  </si>
  <si>
    <t>a. assumed actual heat content coal 26 mmbtu/ton, tires 28 mmbtu/ton, natural gas 1,050 mmbtu/mcf</t>
  </si>
  <si>
    <t>Carbon Monoxide (Method 10 test)</t>
  </si>
  <si>
    <t>Nitrogen Oxides - CEMs (2012 - 2013)</t>
  </si>
  <si>
    <t>Carbon Monoxide - CEMs (2012 - 2013)</t>
  </si>
  <si>
    <t>Sulfur Dioxide - CEMs (2012 - 2013)</t>
  </si>
  <si>
    <t>Volatile Organic Compounds - CEMs (2012 - 2013)</t>
  </si>
  <si>
    <t>Particulate Matter - Stack Tests and Factors (2012 - 2013)</t>
  </si>
  <si>
    <t>Carbon Dioxide - CEMs (2012 - 2013)</t>
  </si>
  <si>
    <t>Methane - Emiss Factor (2012 - 2013)</t>
  </si>
  <si>
    <t>Nitrous Oxide - Emiss Factor (2012 - 2013)</t>
  </si>
  <si>
    <t xml:space="preserve"> ---Existing Unit (EU003)</t>
  </si>
  <si>
    <r>
      <t xml:space="preserve">   ---Baseline Actual Emissions</t>
    </r>
    <r>
      <rPr>
        <b/>
        <sz val="8"/>
        <color indexed="8"/>
        <rFont val="Calibri"/>
        <family val="2"/>
      </rPr>
      <t xml:space="preserve"> (2012-2013)</t>
    </r>
  </si>
  <si>
    <t xml:space="preserve"> ---Existing Unit (EU010)</t>
  </si>
  <si>
    <t>Nitrogen Oxides - CEMs</t>
  </si>
  <si>
    <t>Sulfur Dioxide - CEMs</t>
  </si>
  <si>
    <t>Particulate Matter - Stack Tests and Factors</t>
  </si>
  <si>
    <t>Carbon Monoxide - CEMS AND Method10</t>
  </si>
  <si>
    <t>Volatile Organic Compounds - CEMs</t>
  </si>
  <si>
    <t>Carbon Dioxide - CEMs</t>
  </si>
  <si>
    <t>Methane - Emiss Factor</t>
  </si>
  <si>
    <t>Nitrous Oxide - Emiss Factor</t>
  </si>
  <si>
    <t>Projected Actual Production =</t>
  </si>
  <si>
    <t>ton clinker/yr</t>
  </si>
  <si>
    <t>Baseline Actual Production =</t>
  </si>
  <si>
    <t>Could have accom. BAE (EU003)</t>
  </si>
  <si>
    <t>Could have accom. BAE (EU010)</t>
  </si>
  <si>
    <r>
      <t>SO</t>
    </r>
    <r>
      <rPr>
        <b/>
        <vertAlign val="subscript"/>
        <sz val="12"/>
        <color indexed="8"/>
        <rFont val="Calibri"/>
        <family val="2"/>
      </rPr>
      <t>2</t>
    </r>
  </si>
  <si>
    <t>Could have Accommodated</t>
  </si>
  <si>
    <t>Method 5 does not measure condensables. Condensables accounted for in summary calculations for PSD Table.</t>
  </si>
  <si>
    <r>
      <t xml:space="preserve">SO2 Potential from fuel (ton/yr) </t>
    </r>
    <r>
      <rPr>
        <sz val="9"/>
        <color indexed="8"/>
        <rFont val="Calibri"/>
        <family val="2"/>
      </rPr>
      <t>*assume coal composition of 1.0% S</t>
    </r>
  </si>
  <si>
    <t>Store in raw material building/Covered Pile or Silos</t>
  </si>
  <si>
    <r>
      <t>Material Loading to Grinding Hopper by mobile Loader</t>
    </r>
    <r>
      <rPr>
        <vertAlign val="superscript"/>
        <sz val="11"/>
        <color indexed="8"/>
        <rFont val="Calibri"/>
        <family val="2"/>
      </rPr>
      <t>b</t>
    </r>
    <r>
      <rPr>
        <sz val="11"/>
        <color indexed="8"/>
        <rFont val="Calibri"/>
        <family val="2"/>
      </rPr>
      <t xml:space="preserve"> </t>
    </r>
  </si>
  <si>
    <r>
      <t xml:space="preserve"> Screen 1</t>
    </r>
    <r>
      <rPr>
        <vertAlign val="superscript"/>
        <sz val="11"/>
        <color indexed="8"/>
        <rFont val="Calibri"/>
        <family val="2"/>
      </rPr>
      <t>b</t>
    </r>
  </si>
  <si>
    <r>
      <t xml:space="preserve"> Screen 2</t>
    </r>
    <r>
      <rPr>
        <vertAlign val="superscript"/>
        <sz val="11"/>
        <color indexed="8"/>
        <rFont val="Calibri"/>
        <family val="2"/>
      </rPr>
      <t>b</t>
    </r>
  </si>
  <si>
    <t>New Unit "Grinding and Screening Operations for AFM" - Potential Emissions</t>
  </si>
  <si>
    <t>5a</t>
  </si>
  <si>
    <t>5b</t>
  </si>
  <si>
    <t>See Table 4 for GHG calculation details</t>
  </si>
  <si>
    <t>baseline years</t>
  </si>
  <si>
    <t>Carbon Monoxide - Method10 (2012 - 2013)</t>
  </si>
  <si>
    <t>c:CO2E values as submitted for EGGRT reports.  Actual tons calculated using GWP of 25 for Ch4 and 298 for N2O.</t>
  </si>
  <si>
    <r>
      <t>Carbon Dioxide (CEMs)</t>
    </r>
    <r>
      <rPr>
        <b/>
        <vertAlign val="superscript"/>
        <sz val="11"/>
        <color indexed="9"/>
        <rFont val="Calibri"/>
        <family val="2"/>
      </rPr>
      <t>b</t>
    </r>
  </si>
  <si>
    <r>
      <t>Methane (Emission Factor)</t>
    </r>
    <r>
      <rPr>
        <b/>
        <vertAlign val="superscript"/>
        <sz val="11"/>
        <color indexed="9"/>
        <rFont val="Calibri"/>
        <family val="2"/>
      </rPr>
      <t>c</t>
    </r>
  </si>
  <si>
    <r>
      <t>Nitrous Oxide ( Emission Factor)</t>
    </r>
    <r>
      <rPr>
        <b/>
        <vertAlign val="superscript"/>
        <sz val="11"/>
        <color indexed="9"/>
        <rFont val="Calibri"/>
        <family val="2"/>
      </rPr>
      <t>c</t>
    </r>
  </si>
  <si>
    <r>
      <t>b: CEMs data as submitted for EGGRT</t>
    </r>
    <r>
      <rPr>
        <sz val="10"/>
        <color indexed="55"/>
        <rFont val="Calibri"/>
        <family val="2"/>
      </rPr>
      <t xml:space="preserve"> reports. (converted from EGGRT in metric tons)</t>
    </r>
  </si>
  <si>
    <t>Example PAE (EU003) (720,000 ton clinker /yr permitted) / (324,590 ton clinker/yr actual ) x (BAE, 0.74 ton SO2/yr) = 1.64 ton SO2/yr</t>
  </si>
  <si>
    <t>Argos 5-yr projected (90% clinker capacity)</t>
  </si>
  <si>
    <r>
      <t xml:space="preserve">A reasonable maximum projection of production of clinker that </t>
    </r>
    <r>
      <rPr>
        <u val="single"/>
        <sz val="11"/>
        <color indexed="8"/>
        <rFont val="Calibri"/>
        <family val="2"/>
      </rPr>
      <t>could have been accomodated</t>
    </r>
    <r>
      <rPr>
        <sz val="11"/>
        <color theme="1"/>
        <rFont val="Calibri"/>
        <family val="2"/>
      </rPr>
      <t xml:space="preserve"> is based on producing more clinker of up to 90 percent of permitted clinker capacity, clinker/yr</t>
    </r>
  </si>
  <si>
    <t xml:space="preserve">     Engineered Fuel category</t>
  </si>
  <si>
    <t xml:space="preserve">     Tire Derived Fuel category</t>
  </si>
  <si>
    <t xml:space="preserve">     Plastics category</t>
  </si>
  <si>
    <t xml:space="preserve">     Carpet Derived Fuel category</t>
  </si>
  <si>
    <t xml:space="preserve">     Baseline Emissions rate at Projected Actual Production</t>
  </si>
  <si>
    <t xml:space="preserve">     Roofing materials category</t>
  </si>
  <si>
    <t xml:space="preserve">     Agricultural Biogenic Materials category</t>
  </si>
  <si>
    <t xml:space="preserve">     Petroleum byproducts category</t>
  </si>
  <si>
    <t>Engineered Fuel Emissions - Direct Comparison</t>
  </si>
  <si>
    <t>Measured Stack Emission Factors (EF)</t>
  </si>
  <si>
    <r>
      <t>SO</t>
    </r>
    <r>
      <rPr>
        <vertAlign val="subscript"/>
        <sz val="11"/>
        <rFont val="Calibri"/>
        <family val="2"/>
      </rPr>
      <t>2</t>
    </r>
  </si>
  <si>
    <r>
      <t>NO</t>
    </r>
    <r>
      <rPr>
        <vertAlign val="subscript"/>
        <sz val="11"/>
        <rFont val="Calibri"/>
        <family val="2"/>
      </rPr>
      <t>x</t>
    </r>
  </si>
  <si>
    <t>VOC</t>
  </si>
  <si>
    <t>Observed Change in Emissions (%)</t>
  </si>
  <si>
    <t>Tire-Derived Fuel Emissions - Direct Comparison</t>
  </si>
  <si>
    <t>Plastics Emissions - Direct Comparison</t>
  </si>
  <si>
    <t>Agricultural Biogenic Materials Emissions - Direct Comparison</t>
  </si>
  <si>
    <r>
      <t>SO</t>
    </r>
    <r>
      <rPr>
        <vertAlign val="subscript"/>
        <sz val="11"/>
        <rFont val="Calibri"/>
        <family val="2"/>
      </rPr>
      <t>2</t>
    </r>
    <r>
      <rPr>
        <sz val="11"/>
        <rFont val="Calibri"/>
        <family val="2"/>
      </rPr>
      <t>*</t>
    </r>
  </si>
  <si>
    <r>
      <t>NO</t>
    </r>
    <r>
      <rPr>
        <vertAlign val="subscript"/>
        <sz val="11"/>
        <rFont val="Calibri"/>
        <family val="2"/>
      </rPr>
      <t>x</t>
    </r>
    <r>
      <rPr>
        <sz val="11"/>
        <rFont val="Calibri"/>
        <family val="2"/>
      </rPr>
      <t>*</t>
    </r>
  </si>
  <si>
    <t>CO*</t>
  </si>
  <si>
    <t>VOC*</t>
  </si>
  <si>
    <t>Carpet-Derived Fuel Emissions - Direct Comparison</t>
  </si>
  <si>
    <t>Cellulosic Biomass Emissions - Direct Comparison</t>
  </si>
  <si>
    <t>Roofing Materials Emissions - Direct Comparison</t>
  </si>
  <si>
    <t>Based on Testing Conducted at the LaFarge Brookfield (Shingles) Cement Plant</t>
  </si>
  <si>
    <t>Highest PAE from any AFM category</t>
  </si>
  <si>
    <t>Example calculation of Projected Actual Emissions (PAE)</t>
  </si>
  <si>
    <t>Expected impact of AFM category</t>
  </si>
  <si>
    <t>PM10*</t>
  </si>
  <si>
    <t>PM2.5*</t>
  </si>
  <si>
    <t>tpy</t>
  </si>
  <si>
    <t>Project Actual Emissions</t>
  </si>
  <si>
    <t>Based on Testing Conducted at the Castle Cement, Ribblesdale PC/PH Plant (CEMFUEL)</t>
  </si>
  <si>
    <t>Petroleum Byproducts Emissions - Direct Comparison</t>
  </si>
  <si>
    <t>* Use same percent change for PM to PM10 and PM2.5</t>
  </si>
  <si>
    <t>Calculations - see example calculations,  Engineered fuel</t>
  </si>
  <si>
    <t>adjusted PAE - Total BAE</t>
  </si>
  <si>
    <t xml:space="preserve">     Cellulosic Biomass/resinated wood categories</t>
  </si>
  <si>
    <t>reference: 0250014-045-AC application</t>
  </si>
  <si>
    <t>Based on Testing Conducted at the Cemex Miami Cement Plant (Tire Derived Fuel)</t>
  </si>
  <si>
    <t>Based on Testing Conducted at the LaFarge, Whitehall Plant (Plastic Derived Fuel)</t>
  </si>
  <si>
    <t>reference: 0250014-045-AC application.</t>
  </si>
  <si>
    <t xml:space="preserve"> Baseline Emiss. Factor</t>
  </si>
  <si>
    <t>Alt. Fuel Emission Factor</t>
  </si>
  <si>
    <t>Petroleum content of tires used as basis for Petroleum byproduct factors</t>
  </si>
  <si>
    <t>Based on Testing Conducted at the CEMEX, Miami Cement Plant (Woody Biomass)</t>
  </si>
</sst>
</file>

<file path=xl/styles.xml><?xml version="1.0" encoding="utf-8"?>
<styleSheet xmlns="http://schemas.openxmlformats.org/spreadsheetml/2006/main">
  <numFmts count="6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"/>
    <numFmt numFmtId="166" formatCode="0.00\ &quot;tons&quot;"/>
    <numFmt numFmtId="167" formatCode="0,000,000\ &quot;MMBtu/yr&quot;"/>
    <numFmt numFmtId="168" formatCode="#,#00\ &quot;ton/yr&quot;"/>
    <numFmt numFmtId="169" formatCode="0.00E+00\ &quot;lb/MMBtu&quot;"/>
    <numFmt numFmtId="170" formatCode="0.00E+00\ &quot;lb/ton&quot;"/>
    <numFmt numFmtId="171" formatCode="0.000"/>
    <numFmt numFmtId="172" formatCode="0.0000"/>
    <numFmt numFmtId="173" formatCode="m\o\n\th\ d\,\ yyyy"/>
    <numFmt numFmtId="174" formatCode="#.00"/>
    <numFmt numFmtId="175" formatCode="#."/>
    <numFmt numFmtId="176" formatCode="#,###\ &quot;miles&quot;"/>
    <numFmt numFmtId="177" formatCode="0.###\ &quot;lb/VMT&quot;"/>
    <numFmt numFmtId="178" formatCode="#,###,###\ &quot;tons&quot;"/>
    <numFmt numFmtId="179" formatCode="0\ &quot;ton/yr&quot;"/>
    <numFmt numFmtId="180" formatCode="0.00\ &quot;lb/MMBtu&quot;"/>
    <numFmt numFmtId="181" formatCode="0.00\ &quot;ton/yr&quot;"/>
    <numFmt numFmtId="182" formatCode="0.000\ &quot;lb/ton C&quot;"/>
    <numFmt numFmtId="183" formatCode="0.0E+0\ &quot;lb/mmbtu&quot;"/>
    <numFmt numFmtId="184" formatCode="0.0\ &quot;lb/mmbtu&quot;"/>
    <numFmt numFmtId="185" formatCode="0.00\ &quot;lb/mmbtu&quot;"/>
    <numFmt numFmtId="186" formatCode="0.00\ &quot;lb/hr&quot;"/>
    <numFmt numFmtId="187" formatCode="0.00\ &quot;tons/yr&quot;"/>
    <numFmt numFmtId="188" formatCode="0.00E+00\ &quot;tons/yr&quot;"/>
    <numFmt numFmtId="189" formatCode="0.00\ &quot;mcf/yr&quot;"/>
    <numFmt numFmtId="190" formatCode="#,##0\ &quot;ton/yr&quot;"/>
    <numFmt numFmtId="191" formatCode="0.0\ &quot;mcf/yr&quot;"/>
    <numFmt numFmtId="192" formatCode="#,#00.00\ &quot;mcf/yr&quot;"/>
    <numFmt numFmtId="193" formatCode="###,###\ &quot;ton/yr&quot;"/>
    <numFmt numFmtId="194" formatCode="##.#\ &quot;ton/yr&quot;"/>
    <numFmt numFmtId="195" formatCode="##.##\ &quot;ton/yr&quot;"/>
    <numFmt numFmtId="196" formatCode="#,###.##\ &quot;ton/yr&quot;"/>
    <numFmt numFmtId="197" formatCode="##.#\ &quot;ton CO2e/yr&quot;"/>
    <numFmt numFmtId="198" formatCode="###,###.0\ &quot;ton/yr&quot;"/>
    <numFmt numFmtId="199" formatCode="#,###.#\ &quot;ton CO2e/yr&quot;"/>
    <numFmt numFmtId="200" formatCode="#,###\ &quot;ton CO2e/yr&quot;"/>
    <numFmt numFmtId="201" formatCode="_ * #,##0.00_ ;_ * \-#,##0.00_ ;_ * &quot;-&quot;??_ ;_ @_ "/>
    <numFmt numFmtId="202" formatCode="###,###.00\ &quot;ton/yr&quot;"/>
    <numFmt numFmtId="203" formatCode="_(* #,##0_);_(* \(#,##0\);_(* &quot;-&quot;??_);_(@_)"/>
    <numFmt numFmtId="204" formatCode="0.00\ &quot;lb/ton C&quot;"/>
    <numFmt numFmtId="205" formatCode="0.0\ &quot;ton/yr&quot;"/>
    <numFmt numFmtId="206" formatCode="###,###"/>
    <numFmt numFmtId="207" formatCode="#,#00\ &quot;MMBtu/yr&quot;"/>
    <numFmt numFmtId="208" formatCode="###,###,###"/>
    <numFmt numFmtId="209" formatCode="0.0\ &quot;lb/ton C&quot;"/>
    <numFmt numFmtId="210" formatCode="0.0000\ &quot;lb/ton C&quot;"/>
    <numFmt numFmtId="211" formatCode="_(* #,##0.0_);_(* \(#,##0.0\);_(* &quot;-&quot;??_);_(@_)"/>
    <numFmt numFmtId="212" formatCode="0\ &quot;mg/Nm³&quot;"/>
    <numFmt numFmtId="213" formatCode="0\ &quot;lb/hr&quot;"/>
    <numFmt numFmtId="214" formatCode="0.0E+0\ &quot;lb/mmbtu*&quot;"/>
    <numFmt numFmtId="215" formatCode="#,#00\ &quot;btu/lb&quot;"/>
    <numFmt numFmtId="216" formatCode="0.0E+0\ &quot;lb/mmbtu**&quot;"/>
    <numFmt numFmtId="217" formatCode="0.00\ &quot;ug/Nm³&quot;"/>
    <numFmt numFmtId="218" formatCode="_(* #,##0.0_);_(* \(#,##0.0\);_(* &quot;-&quot;?_);_(@_)"/>
  </numFmts>
  <fonts count="95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Calibri"/>
      <family val="2"/>
    </font>
    <font>
      <b/>
      <sz val="11"/>
      <color indexed="8"/>
      <name val="Calibri"/>
      <family val="2"/>
    </font>
    <font>
      <vertAlign val="superscript"/>
      <sz val="11"/>
      <color indexed="8"/>
      <name val="Calibri"/>
      <family val="2"/>
    </font>
    <font>
      <b/>
      <sz val="12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11"/>
      <color indexed="22"/>
      <name val="Calibri"/>
      <family val="2"/>
    </font>
    <font>
      <sz val="12"/>
      <color indexed="8"/>
      <name val="Calibri"/>
      <family val="2"/>
    </font>
    <font>
      <b/>
      <vertAlign val="subscript"/>
      <sz val="12"/>
      <color indexed="8"/>
      <name val="Calibri"/>
      <family val="2"/>
    </font>
    <font>
      <b/>
      <vertAlign val="superscript"/>
      <sz val="12"/>
      <color indexed="8"/>
      <name val="Calibri"/>
      <family val="2"/>
    </font>
    <font>
      <sz val="10"/>
      <name val="Arial"/>
      <family val="2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sz val="12"/>
      <name val="Arial MT"/>
      <family val="0"/>
    </font>
    <font>
      <sz val="10"/>
      <name val="Helv"/>
      <family val="0"/>
    </font>
    <font>
      <sz val="8"/>
      <name val="Calibri"/>
      <family val="2"/>
    </font>
    <font>
      <vertAlign val="subscript"/>
      <sz val="11"/>
      <color indexed="8"/>
      <name val="Calibri"/>
      <family val="2"/>
    </font>
    <font>
      <i/>
      <sz val="11"/>
      <color indexed="8"/>
      <name val="Calibri"/>
      <family val="2"/>
    </font>
    <font>
      <sz val="9"/>
      <color indexed="8"/>
      <name val="Calibri"/>
      <family val="2"/>
    </font>
    <font>
      <u val="single"/>
      <sz val="9.9"/>
      <color indexed="36"/>
      <name val="Calibri"/>
      <family val="2"/>
    </font>
    <font>
      <b/>
      <vertAlign val="superscript"/>
      <sz val="11"/>
      <color indexed="8"/>
      <name val="Calibri"/>
      <family val="2"/>
    </font>
    <font>
      <i/>
      <sz val="14"/>
      <color indexed="8"/>
      <name val="Calibri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sz val="11"/>
      <color indexed="10"/>
      <name val="Calibri"/>
      <family val="2"/>
    </font>
    <font>
      <b/>
      <vertAlign val="superscript"/>
      <sz val="11"/>
      <color indexed="9"/>
      <name val="Calibri"/>
      <family val="2"/>
    </font>
    <font>
      <sz val="10"/>
      <color indexed="55"/>
      <name val="Calibri"/>
      <family val="2"/>
    </font>
    <font>
      <u val="single"/>
      <sz val="11"/>
      <color indexed="8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b/>
      <i/>
      <sz val="14"/>
      <name val="Calibri"/>
      <family val="2"/>
    </font>
    <font>
      <b/>
      <sz val="11"/>
      <name val="Calibri"/>
      <family val="2"/>
    </font>
    <font>
      <vertAlign val="subscript"/>
      <sz val="11"/>
      <name val="Calibri"/>
      <family val="2"/>
    </font>
    <font>
      <i/>
      <sz val="11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i/>
      <sz val="16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0"/>
      <color indexed="8"/>
      <name val="Calibri"/>
      <family val="2"/>
    </font>
    <font>
      <b/>
      <sz val="9"/>
      <color indexed="8"/>
      <name val="Calibri"/>
      <family val="2"/>
    </font>
    <font>
      <sz val="7"/>
      <color indexed="8"/>
      <name val="Calibri"/>
      <family val="2"/>
    </font>
    <font>
      <b/>
      <sz val="16"/>
      <color indexed="8"/>
      <name val="Calibri"/>
      <family val="2"/>
    </font>
    <font>
      <sz val="14"/>
      <color indexed="9"/>
      <name val="Calibri"/>
      <family val="2"/>
    </font>
    <font>
      <sz val="11"/>
      <color indexed="55"/>
      <name val="Calibri"/>
      <family val="2"/>
    </font>
    <font>
      <sz val="9"/>
      <color indexed="9"/>
      <name val="Calibri"/>
      <family val="2"/>
    </font>
    <font>
      <sz val="11"/>
      <color indexed="8"/>
      <name val="Cambria Math"/>
      <family val="0"/>
    </font>
    <font>
      <i/>
      <sz val="9"/>
      <color indexed="8"/>
      <name val="Calibri"/>
      <family val="0"/>
    </font>
    <font>
      <sz val="9"/>
      <color indexed="8"/>
      <name val="Cambria Math"/>
      <family val="0"/>
    </font>
    <font>
      <i/>
      <sz val="9"/>
      <color indexed="8"/>
      <name val="Cambria Math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sz val="7"/>
      <color theme="1"/>
      <name val="Calibri"/>
      <family val="2"/>
    </font>
    <font>
      <b/>
      <sz val="16"/>
      <color theme="1"/>
      <name val="Calibri"/>
      <family val="2"/>
    </font>
    <font>
      <sz val="14"/>
      <color theme="0"/>
      <name val="Calibri"/>
      <family val="2"/>
    </font>
    <font>
      <sz val="10"/>
      <color theme="0" tint="-0.24997000396251678"/>
      <name val="Calibri"/>
      <family val="2"/>
    </font>
    <font>
      <sz val="11"/>
      <color theme="0" tint="-0.24997000396251678"/>
      <name val="Calibri"/>
      <family val="2"/>
    </font>
    <font>
      <sz val="9"/>
      <color theme="0"/>
      <name val="Calibri"/>
      <family val="2"/>
    </font>
    <font>
      <i/>
      <sz val="11"/>
      <color theme="1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4999699890613556"/>
        <bgColor indexed="64"/>
      </patternFill>
    </fill>
  </fills>
  <borders count="7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/>
      <right style="double"/>
      <top/>
      <bottom/>
    </border>
    <border>
      <left/>
      <right style="double"/>
      <top/>
      <bottom style="double"/>
    </border>
    <border>
      <left/>
      <right/>
      <top/>
      <bottom style="double"/>
    </border>
    <border>
      <left style="double"/>
      <right/>
      <top/>
      <bottom/>
    </border>
    <border>
      <left style="thin"/>
      <right style="thin"/>
      <top/>
      <bottom style="thin"/>
    </border>
    <border>
      <left style="double"/>
      <right/>
      <top/>
      <bottom style="double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/>
      <bottom/>
    </border>
    <border>
      <left style="thin"/>
      <right/>
      <top style="thin"/>
      <bottom/>
    </border>
    <border>
      <left style="thin"/>
      <right/>
      <top/>
      <bottom style="thin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 style="medium"/>
      <bottom style="thin"/>
    </border>
    <border>
      <left style="medium"/>
      <right/>
      <top/>
      <bottom/>
    </border>
    <border>
      <left style="thin"/>
      <right style="thin"/>
      <top style="thin"/>
      <bottom style="medium"/>
    </border>
    <border>
      <left style="thin"/>
      <right style="thin"/>
      <top/>
      <bottom style="medium"/>
    </border>
    <border>
      <left style="medium"/>
      <right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/>
      <right/>
      <top style="medium"/>
      <bottom style="thin"/>
    </border>
    <border>
      <left style="thin"/>
      <right/>
      <top/>
      <bottom style="double"/>
    </border>
    <border>
      <left/>
      <right style="thin"/>
      <top/>
      <bottom style="double"/>
    </border>
    <border>
      <left style="thin"/>
      <right style="thin"/>
      <top/>
      <bottom style="double"/>
    </border>
    <border>
      <left style="medium"/>
      <right/>
      <top style="medium"/>
      <bottom style="thin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 style="thin"/>
      <top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medium"/>
      <bottom style="double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/>
      <bottom style="medium"/>
    </border>
    <border>
      <left style="thin"/>
      <right style="double"/>
      <top style="double"/>
      <bottom/>
    </border>
    <border>
      <left style="thin"/>
      <right style="double"/>
      <top/>
      <bottom/>
    </border>
    <border>
      <left style="thin"/>
      <right style="double"/>
      <top/>
      <bottom style="double"/>
    </border>
    <border>
      <left style="thin"/>
      <right style="double"/>
      <top style="double"/>
      <bottom style="double"/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/>
      <top style="thin"/>
      <bottom/>
    </border>
  </borders>
  <cellStyleXfs count="80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6" fillId="26" borderId="0" applyNumberFormat="0" applyBorder="0" applyAlignment="0" applyProtection="0"/>
    <xf numFmtId="0" fontId="67" fillId="27" borderId="1" applyNumberFormat="0" applyAlignment="0" applyProtection="0"/>
    <xf numFmtId="0" fontId="68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201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73" fontId="13" fillId="0" borderId="0">
      <alignment/>
      <protection locked="0"/>
    </xf>
    <xf numFmtId="0" fontId="69" fillId="0" borderId="0" applyNumberFormat="0" applyFill="0" applyBorder="0" applyAlignment="0" applyProtection="0"/>
    <xf numFmtId="174" fontId="13" fillId="0" borderId="0">
      <alignment/>
      <protection locked="0"/>
    </xf>
    <xf numFmtId="0" fontId="21" fillId="0" borderId="0" applyNumberFormat="0" applyFill="0" applyBorder="0" applyAlignment="0" applyProtection="0"/>
    <xf numFmtId="0" fontId="70" fillId="29" borderId="0" applyNumberFormat="0" applyBorder="0" applyAlignment="0" applyProtection="0"/>
    <xf numFmtId="0" fontId="71" fillId="0" borderId="3" applyNumberFormat="0" applyFill="0" applyAlignment="0" applyProtection="0"/>
    <xf numFmtId="0" fontId="72" fillId="0" borderId="4" applyNumberFormat="0" applyFill="0" applyAlignment="0" applyProtection="0"/>
    <xf numFmtId="0" fontId="73" fillId="0" borderId="5" applyNumberFormat="0" applyFill="0" applyAlignment="0" applyProtection="0"/>
    <xf numFmtId="0" fontId="73" fillId="0" borderId="0" applyNumberFormat="0" applyFill="0" applyBorder="0" applyAlignment="0" applyProtection="0"/>
    <xf numFmtId="175" fontId="14" fillId="0" borderId="0">
      <alignment/>
      <protection locked="0"/>
    </xf>
    <xf numFmtId="175" fontId="14" fillId="0" borderId="0">
      <alignment/>
      <protection locked="0"/>
    </xf>
    <xf numFmtId="0" fontId="74" fillId="0" borderId="0" applyNumberFormat="0" applyFill="0" applyBorder="0" applyAlignment="0" applyProtection="0"/>
    <xf numFmtId="0" fontId="75" fillId="30" borderId="1" applyNumberFormat="0" applyAlignment="0" applyProtection="0"/>
    <xf numFmtId="0" fontId="76" fillId="0" borderId="6" applyNumberFormat="0" applyFill="0" applyAlignment="0" applyProtection="0"/>
    <xf numFmtId="0" fontId="77" fillId="31" borderId="0" applyNumberFormat="0" applyBorder="0" applyAlignment="0" applyProtection="0"/>
    <xf numFmtId="0" fontId="15" fillId="0" borderId="0">
      <alignment/>
      <protection/>
    </xf>
    <xf numFmtId="0" fontId="16" fillId="32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" fillId="33" borderId="7" applyNumberFormat="0" applyFont="0" applyAlignment="0" applyProtection="0"/>
    <xf numFmtId="0" fontId="78" fillId="27" borderId="8" applyNumberFormat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79" fillId="0" borderId="0" applyNumberFormat="0" applyFill="0" applyBorder="0" applyAlignment="0" applyProtection="0"/>
    <xf numFmtId="0" fontId="80" fillId="0" borderId="9" applyNumberFormat="0" applyFill="0" applyAlignment="0" applyProtection="0"/>
    <xf numFmtId="0" fontId="81" fillId="0" borderId="0" applyNumberFormat="0" applyFill="0" applyBorder="0" applyAlignment="0" applyProtection="0"/>
  </cellStyleXfs>
  <cellXfs count="710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9" fontId="0" fillId="0" borderId="12" xfId="0" applyNumberFormat="1" applyBorder="1" applyAlignment="1">
      <alignment horizontal="center"/>
    </xf>
    <xf numFmtId="9" fontId="0" fillId="0" borderId="13" xfId="0" applyNumberFormat="1" applyBorder="1" applyAlignment="1">
      <alignment horizontal="center"/>
    </xf>
    <xf numFmtId="0" fontId="0" fillId="34" borderId="14" xfId="0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8" xfId="0" applyFill="1" applyBorder="1" applyAlignment="1">
      <alignment/>
    </xf>
    <xf numFmtId="0" fontId="0" fillId="34" borderId="19" xfId="0" applyFill="1" applyBorder="1" applyAlignment="1">
      <alignment/>
    </xf>
    <xf numFmtId="0" fontId="0" fillId="34" borderId="20" xfId="0" applyFill="1" applyBorder="1" applyAlignment="1">
      <alignment/>
    </xf>
    <xf numFmtId="0" fontId="0" fillId="34" borderId="0" xfId="0" applyFill="1" applyBorder="1" applyAlignment="1">
      <alignment/>
    </xf>
    <xf numFmtId="0" fontId="0" fillId="0" borderId="0" xfId="0" applyFill="1" applyBorder="1" applyAlignment="1">
      <alignment/>
    </xf>
    <xf numFmtId="9" fontId="0" fillId="0" borderId="21" xfId="0" applyNumberFormat="1" applyBorder="1" applyAlignment="1">
      <alignment horizontal="center"/>
    </xf>
    <xf numFmtId="0" fontId="0" fillId="34" borderId="0" xfId="0" applyFill="1" applyBorder="1" applyAlignment="1">
      <alignment vertical="top"/>
    </xf>
    <xf numFmtId="0" fontId="0" fillId="34" borderId="10" xfId="0" applyFill="1" applyBorder="1" applyAlignment="1">
      <alignment/>
    </xf>
    <xf numFmtId="0" fontId="0" fillId="34" borderId="10" xfId="0" applyFill="1" applyBorder="1" applyAlignment="1">
      <alignment vertical="top"/>
    </xf>
    <xf numFmtId="0" fontId="0" fillId="34" borderId="22" xfId="0" applyFill="1" applyBorder="1" applyAlignment="1">
      <alignment/>
    </xf>
    <xf numFmtId="0" fontId="6" fillId="34" borderId="0" xfId="0" applyFont="1" applyFill="1" applyBorder="1" applyAlignment="1">
      <alignment horizontal="center"/>
    </xf>
    <xf numFmtId="0" fontId="0" fillId="34" borderId="0" xfId="0" applyFill="1" applyBorder="1" applyAlignment="1">
      <alignment/>
    </xf>
    <xf numFmtId="0" fontId="0" fillId="34" borderId="0" xfId="0" applyFill="1" applyAlignment="1">
      <alignment/>
    </xf>
    <xf numFmtId="0" fontId="7" fillId="34" borderId="0" xfId="0" applyFont="1" applyFill="1" applyBorder="1" applyAlignment="1">
      <alignment horizontal="center"/>
    </xf>
    <xf numFmtId="0" fontId="0" fillId="34" borderId="11" xfId="0" applyFill="1" applyBorder="1" applyAlignment="1">
      <alignment vertical="top"/>
    </xf>
    <xf numFmtId="0" fontId="0" fillId="0" borderId="23" xfId="0" applyBorder="1" applyAlignment="1">
      <alignment horizontal="right"/>
    </xf>
    <xf numFmtId="0" fontId="0" fillId="0" borderId="24" xfId="0" applyBorder="1" applyAlignment="1">
      <alignment horizontal="right"/>
    </xf>
    <xf numFmtId="0" fontId="0" fillId="34" borderId="25" xfId="0" applyFill="1" applyBorder="1" applyAlignment="1">
      <alignment horizontal="right"/>
    </xf>
    <xf numFmtId="0" fontId="0" fillId="0" borderId="0" xfId="0" applyAlignment="1">
      <alignment horizontal="left"/>
    </xf>
    <xf numFmtId="0" fontId="0" fillId="34" borderId="0" xfId="0" applyFill="1" applyBorder="1" applyAlignment="1">
      <alignment horizontal="left"/>
    </xf>
    <xf numFmtId="0" fontId="5" fillId="0" borderId="0" xfId="0" applyFont="1" applyAlignment="1">
      <alignment horizontal="center"/>
    </xf>
    <xf numFmtId="0" fontId="5" fillId="34" borderId="20" xfId="0" applyFont="1" applyFill="1" applyBorder="1" applyAlignment="1">
      <alignment horizontal="center"/>
    </xf>
    <xf numFmtId="0" fontId="5" fillId="34" borderId="0" xfId="0" applyFont="1" applyFill="1" applyBorder="1" applyAlignment="1">
      <alignment horizontal="center"/>
    </xf>
    <xf numFmtId="0" fontId="5" fillId="34" borderId="0" xfId="0" applyFont="1" applyFill="1" applyBorder="1" applyAlignment="1">
      <alignment horizontal="left"/>
    </xf>
    <xf numFmtId="0" fontId="0" fillId="34" borderId="19" xfId="0" applyFill="1" applyBorder="1" applyAlignment="1">
      <alignment horizontal="left"/>
    </xf>
    <xf numFmtId="2" fontId="0" fillId="34" borderId="0" xfId="0" applyNumberFormat="1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3" fillId="34" borderId="0" xfId="0" applyFont="1" applyFill="1" applyBorder="1" applyAlignment="1">
      <alignment horizontal="left" vertical="center"/>
    </xf>
    <xf numFmtId="0" fontId="5" fillId="0" borderId="12" xfId="0" applyFont="1" applyBorder="1" applyAlignment="1">
      <alignment horizontal="center" vertical="center"/>
    </xf>
    <xf numFmtId="14" fontId="0" fillId="0" borderId="0" xfId="0" applyNumberFormat="1" applyAlignment="1">
      <alignment/>
    </xf>
    <xf numFmtId="0" fontId="0" fillId="0" borderId="11" xfId="0" applyBorder="1" applyAlignment="1">
      <alignment horizontal="right"/>
    </xf>
    <xf numFmtId="0" fontId="0" fillId="0" borderId="0" xfId="0" applyAlignment="1">
      <alignment vertical="top"/>
    </xf>
    <xf numFmtId="0" fontId="0" fillId="34" borderId="15" xfId="0" applyFill="1" applyBorder="1" applyAlignment="1">
      <alignment vertical="top"/>
    </xf>
    <xf numFmtId="0" fontId="0" fillId="34" borderId="20" xfId="0" applyFill="1" applyBorder="1" applyAlignment="1">
      <alignment horizontal="center" vertical="top" wrapText="1"/>
    </xf>
    <xf numFmtId="0" fontId="0" fillId="34" borderId="17" xfId="0" applyFill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12" xfId="0" applyBorder="1" applyAlignment="1">
      <alignment/>
    </xf>
    <xf numFmtId="176" fontId="0" fillId="0" borderId="12" xfId="0" applyNumberFormat="1" applyBorder="1" applyAlignment="1">
      <alignment horizontal="center"/>
    </xf>
    <xf numFmtId="177" fontId="0" fillId="0" borderId="12" xfId="0" applyNumberFormat="1" applyBorder="1" applyAlignment="1">
      <alignment horizontal="center" vertical="top"/>
    </xf>
    <xf numFmtId="0" fontId="0" fillId="0" borderId="13" xfId="0" applyBorder="1" applyAlignment="1">
      <alignment/>
    </xf>
    <xf numFmtId="178" fontId="0" fillId="0" borderId="13" xfId="0" applyNumberFormat="1" applyBorder="1" applyAlignment="1">
      <alignment horizontal="center"/>
    </xf>
    <xf numFmtId="0" fontId="19" fillId="0" borderId="23" xfId="0" applyFont="1" applyBorder="1" applyAlignment="1">
      <alignment vertical="top"/>
    </xf>
    <xf numFmtId="0" fontId="19" fillId="0" borderId="27" xfId="0" applyFont="1" applyBorder="1" applyAlignment="1">
      <alignment vertical="top"/>
    </xf>
    <xf numFmtId="176" fontId="0" fillId="0" borderId="13" xfId="0" applyNumberFormat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21" xfId="0" applyBorder="1" applyAlignment="1">
      <alignment/>
    </xf>
    <xf numFmtId="178" fontId="0" fillId="0" borderId="21" xfId="0" applyNumberFormat="1" applyBorder="1" applyAlignment="1">
      <alignment horizontal="center"/>
    </xf>
    <xf numFmtId="0" fontId="0" fillId="34" borderId="0" xfId="0" applyFill="1" applyAlignment="1">
      <alignment vertical="top"/>
    </xf>
    <xf numFmtId="0" fontId="3" fillId="0" borderId="23" xfId="0" applyFont="1" applyBorder="1" applyAlignment="1">
      <alignment horizontal="right" vertical="top"/>
    </xf>
    <xf numFmtId="0" fontId="0" fillId="0" borderId="23" xfId="0" applyFont="1" applyBorder="1" applyAlignment="1">
      <alignment/>
    </xf>
    <xf numFmtId="0" fontId="0" fillId="0" borderId="24" xfId="0" applyBorder="1" applyAlignment="1">
      <alignment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vertical="top"/>
    </xf>
    <xf numFmtId="0" fontId="0" fillId="0" borderId="28" xfId="0" applyBorder="1" applyAlignment="1">
      <alignment vertical="top"/>
    </xf>
    <xf numFmtId="0" fontId="0" fillId="0" borderId="21" xfId="0" applyBorder="1" applyAlignment="1">
      <alignment horizontal="center" vertical="center" wrapText="1"/>
    </xf>
    <xf numFmtId="0" fontId="0" fillId="0" borderId="10" xfId="0" applyBorder="1" applyAlignment="1">
      <alignment vertical="top"/>
    </xf>
    <xf numFmtId="0" fontId="0" fillId="0" borderId="29" xfId="0" applyBorder="1" applyAlignment="1">
      <alignment vertical="top"/>
    </xf>
    <xf numFmtId="0" fontId="0" fillId="0" borderId="13" xfId="0" applyBorder="1" applyAlignment="1">
      <alignment horizontal="center" vertical="center" wrapText="1"/>
    </xf>
    <xf numFmtId="0" fontId="0" fillId="0" borderId="0" xfId="0" applyBorder="1" applyAlignment="1">
      <alignment vertical="top"/>
    </xf>
    <xf numFmtId="0" fontId="0" fillId="0" borderId="30" xfId="0" applyBorder="1" applyAlignment="1">
      <alignment vertical="top"/>
    </xf>
    <xf numFmtId="0" fontId="0" fillId="34" borderId="0" xfId="0" applyFill="1" applyBorder="1" applyAlignment="1">
      <alignment horizontal="center" vertical="center" wrapText="1"/>
    </xf>
    <xf numFmtId="0" fontId="20" fillId="34" borderId="0" xfId="0" applyFont="1" applyFill="1" applyBorder="1" applyAlignment="1">
      <alignment horizontal="right"/>
    </xf>
    <xf numFmtId="0" fontId="0" fillId="34" borderId="0" xfId="0" applyFont="1" applyFill="1" applyBorder="1" applyAlignment="1">
      <alignment vertical="top"/>
    </xf>
    <xf numFmtId="0" fontId="0" fillId="34" borderId="19" xfId="0" applyFill="1" applyBorder="1" applyAlignment="1">
      <alignment vertical="top"/>
    </xf>
    <xf numFmtId="0" fontId="20" fillId="0" borderId="0" xfId="0" applyFont="1" applyAlignment="1">
      <alignment horizontal="right"/>
    </xf>
    <xf numFmtId="0" fontId="0" fillId="0" borderId="0" xfId="0" applyFont="1" applyAlignment="1">
      <alignment vertical="top" wrapText="1"/>
    </xf>
    <xf numFmtId="3" fontId="0" fillId="0" borderId="0" xfId="0" applyNumberFormat="1" applyFont="1" applyAlignment="1">
      <alignment vertical="top" wrapText="1"/>
    </xf>
    <xf numFmtId="0" fontId="0" fillId="34" borderId="0" xfId="0" applyFill="1" applyBorder="1" applyAlignment="1">
      <alignment horizontal="right"/>
    </xf>
    <xf numFmtId="0" fontId="0" fillId="34" borderId="27" xfId="0" applyFill="1" applyBorder="1" applyAlignment="1">
      <alignment/>
    </xf>
    <xf numFmtId="0" fontId="0" fillId="35" borderId="0" xfId="0" applyFill="1" applyBorder="1" applyAlignment="1">
      <alignment/>
    </xf>
    <xf numFmtId="0" fontId="0" fillId="35" borderId="0" xfId="0" applyFill="1" applyBorder="1" applyAlignment="1">
      <alignment/>
    </xf>
    <xf numFmtId="0" fontId="0" fillId="35" borderId="10" xfId="0" applyFill="1" applyBorder="1" applyAlignment="1">
      <alignment/>
    </xf>
    <xf numFmtId="0" fontId="0" fillId="34" borderId="15" xfId="0" applyFill="1" applyBorder="1" applyAlignment="1">
      <alignment/>
    </xf>
    <xf numFmtId="0" fontId="7" fillId="34" borderId="0" xfId="0" applyFont="1" applyFill="1" applyBorder="1" applyAlignment="1">
      <alignment horizontal="left"/>
    </xf>
    <xf numFmtId="0" fontId="6" fillId="34" borderId="15" xfId="0" applyFont="1" applyFill="1" applyBorder="1" applyAlignment="1">
      <alignment horizontal="center"/>
    </xf>
    <xf numFmtId="0" fontId="8" fillId="34" borderId="15" xfId="0" applyFont="1" applyFill="1" applyBorder="1" applyAlignment="1">
      <alignment/>
    </xf>
    <xf numFmtId="0" fontId="8" fillId="34" borderId="16" xfId="0" applyFont="1" applyFill="1" applyBorder="1" applyAlignment="1">
      <alignment/>
    </xf>
    <xf numFmtId="0" fontId="0" fillId="34" borderId="19" xfId="0" applyFill="1" applyBorder="1" applyAlignment="1">
      <alignment/>
    </xf>
    <xf numFmtId="166" fontId="0" fillId="34" borderId="19" xfId="0" applyNumberFormat="1" applyFill="1" applyBorder="1" applyAlignment="1">
      <alignment horizontal="left"/>
    </xf>
    <xf numFmtId="0" fontId="0" fillId="34" borderId="19" xfId="0" applyFill="1" applyBorder="1" applyAlignment="1">
      <alignment horizontal="right"/>
    </xf>
    <xf numFmtId="0" fontId="5" fillId="0" borderId="31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187" fontId="0" fillId="0" borderId="12" xfId="0" applyNumberFormat="1" applyBorder="1" applyAlignment="1">
      <alignment horizontal="center" vertical="top"/>
    </xf>
    <xf numFmtId="187" fontId="0" fillId="0" borderId="31" xfId="0" applyNumberFormat="1" applyBorder="1" applyAlignment="1">
      <alignment horizontal="center" vertical="top"/>
    </xf>
    <xf numFmtId="187" fontId="0" fillId="0" borderId="26" xfId="0" applyNumberFormat="1" applyBorder="1" applyAlignment="1">
      <alignment horizontal="center" vertical="top"/>
    </xf>
    <xf numFmtId="0" fontId="0" fillId="0" borderId="26" xfId="0" applyBorder="1" applyAlignment="1">
      <alignment horizontal="center" vertical="top" wrapText="1"/>
    </xf>
    <xf numFmtId="0" fontId="5" fillId="36" borderId="13" xfId="0" applyFont="1" applyFill="1" applyBorder="1" applyAlignment="1">
      <alignment horizontal="center" vertical="center"/>
    </xf>
    <xf numFmtId="0" fontId="9" fillId="36" borderId="13" xfId="0" applyFont="1" applyFill="1" applyBorder="1" applyAlignment="1">
      <alignment horizontal="center" vertical="center"/>
    </xf>
    <xf numFmtId="2" fontId="0" fillId="36" borderId="13" xfId="0" applyNumberFormat="1" applyFill="1" applyBorder="1" applyAlignment="1">
      <alignment horizontal="center" vertical="center"/>
    </xf>
    <xf numFmtId="2" fontId="0" fillId="36" borderId="0" xfId="0" applyNumberFormat="1" applyFill="1" applyBorder="1" applyAlignment="1">
      <alignment horizontal="center" vertical="center"/>
    </xf>
    <xf numFmtId="0" fontId="74" fillId="0" borderId="0" xfId="59" applyAlignment="1">
      <alignment/>
    </xf>
    <xf numFmtId="0" fontId="12" fillId="0" borderId="0" xfId="69">
      <alignment/>
      <protection/>
    </xf>
    <xf numFmtId="0" fontId="12" fillId="0" borderId="0" xfId="70">
      <alignment/>
      <protection/>
    </xf>
    <xf numFmtId="9" fontId="0" fillId="0" borderId="0" xfId="74" applyFont="1" applyAlignment="1">
      <alignment/>
    </xf>
    <xf numFmtId="1" fontId="0" fillId="35" borderId="31" xfId="0" applyNumberFormat="1" applyFill="1" applyBorder="1" applyAlignment="1" quotePrefix="1">
      <alignment horizontal="right"/>
    </xf>
    <xf numFmtId="0" fontId="0" fillId="35" borderId="11" xfId="0" applyFill="1" applyBorder="1" applyAlignment="1">
      <alignment/>
    </xf>
    <xf numFmtId="0" fontId="0" fillId="35" borderId="11" xfId="0" applyFill="1" applyBorder="1" applyAlignment="1">
      <alignment/>
    </xf>
    <xf numFmtId="0" fontId="0" fillId="36" borderId="0" xfId="0" applyFill="1" applyBorder="1" applyAlignment="1">
      <alignment/>
    </xf>
    <xf numFmtId="0" fontId="0" fillId="36" borderId="0" xfId="0" applyFill="1" applyBorder="1" applyAlignment="1">
      <alignment/>
    </xf>
    <xf numFmtId="0" fontId="0" fillId="37" borderId="0" xfId="0" applyFill="1" applyBorder="1" applyAlignment="1">
      <alignment/>
    </xf>
    <xf numFmtId="0" fontId="0" fillId="37" borderId="0" xfId="0" applyFill="1" applyBorder="1" applyAlignment="1">
      <alignment/>
    </xf>
    <xf numFmtId="0" fontId="0" fillId="37" borderId="0" xfId="0" applyFill="1" applyBorder="1" applyAlignment="1" quotePrefix="1">
      <alignment horizontal="center"/>
    </xf>
    <xf numFmtId="194" fontId="0" fillId="37" borderId="0" xfId="0" applyNumberFormat="1" applyFont="1" applyFill="1" applyBorder="1" applyAlignment="1">
      <alignment horizontal="center"/>
    </xf>
    <xf numFmtId="196" fontId="0" fillId="37" borderId="0" xfId="0" applyNumberFormat="1" applyFont="1" applyFill="1" applyBorder="1" applyAlignment="1">
      <alignment horizontal="center"/>
    </xf>
    <xf numFmtId="0" fontId="82" fillId="37" borderId="0" xfId="0" applyFont="1" applyFill="1" applyBorder="1" applyAlignment="1">
      <alignment/>
    </xf>
    <xf numFmtId="0" fontId="82" fillId="37" borderId="19" xfId="0" applyFont="1" applyFill="1" applyBorder="1" applyAlignment="1">
      <alignment/>
    </xf>
    <xf numFmtId="0" fontId="0" fillId="35" borderId="10" xfId="0" applyFill="1" applyBorder="1" applyAlignment="1">
      <alignment horizontal="right"/>
    </xf>
    <xf numFmtId="0" fontId="0" fillId="34" borderId="19" xfId="0" applyFill="1" applyBorder="1" applyAlignment="1">
      <alignment horizontal="left" wrapText="1"/>
    </xf>
    <xf numFmtId="0" fontId="0" fillId="38" borderId="0" xfId="0" applyFill="1" applyBorder="1" applyAlignment="1">
      <alignment/>
    </xf>
    <xf numFmtId="0" fontId="0" fillId="38" borderId="0" xfId="0" applyFill="1" applyBorder="1" applyAlignment="1">
      <alignment/>
    </xf>
    <xf numFmtId="0" fontId="0" fillId="36" borderId="0" xfId="0" applyFill="1" applyBorder="1" applyAlignment="1">
      <alignment horizontal="right"/>
    </xf>
    <xf numFmtId="165" fontId="1" fillId="0" borderId="12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165" fontId="1" fillId="0" borderId="26" xfId="0" applyNumberFormat="1" applyFont="1" applyBorder="1" applyAlignment="1">
      <alignment horizontal="center" vertical="center"/>
    </xf>
    <xf numFmtId="165" fontId="1" fillId="0" borderId="27" xfId="0" applyNumberFormat="1" applyFont="1" applyBorder="1" applyAlignment="1">
      <alignment horizontal="center" vertical="center"/>
    </xf>
    <xf numFmtId="0" fontId="83" fillId="34" borderId="15" xfId="0" applyFont="1" applyFill="1" applyBorder="1" applyAlignment="1">
      <alignment horizontal="left"/>
    </xf>
    <xf numFmtId="165" fontId="1" fillId="37" borderId="10" xfId="0" applyNumberFormat="1" applyFont="1" applyFill="1" applyBorder="1" applyAlignment="1">
      <alignment horizontal="center" vertical="center"/>
    </xf>
    <xf numFmtId="0" fontId="2" fillId="37" borderId="10" xfId="0" applyFont="1" applyFill="1" applyBorder="1" applyAlignment="1">
      <alignment horizontal="center" vertical="center"/>
    </xf>
    <xf numFmtId="0" fontId="0" fillId="35" borderId="25" xfId="0" applyFill="1" applyBorder="1" applyAlignment="1">
      <alignment horizontal="center"/>
    </xf>
    <xf numFmtId="0" fontId="0" fillId="0" borderId="0" xfId="0" applyBorder="1" applyAlignment="1">
      <alignment horizontal="left" vertical="center"/>
    </xf>
    <xf numFmtId="0" fontId="0" fillId="38" borderId="24" xfId="0" applyFill="1" applyBorder="1" applyAlignment="1">
      <alignment/>
    </xf>
    <xf numFmtId="166" fontId="0" fillId="38" borderId="0" xfId="0" applyNumberFormat="1" applyFill="1" applyBorder="1" applyAlignment="1">
      <alignment horizontal="left"/>
    </xf>
    <xf numFmtId="0" fontId="0" fillId="38" borderId="0" xfId="0" applyFill="1" applyBorder="1" applyAlignment="1">
      <alignment horizontal="right"/>
    </xf>
    <xf numFmtId="0" fontId="0" fillId="38" borderId="11" xfId="0" applyFill="1" applyBorder="1" applyAlignment="1">
      <alignment/>
    </xf>
    <xf numFmtId="0" fontId="0" fillId="38" borderId="10" xfId="0" applyFill="1" applyBorder="1" applyAlignment="1">
      <alignment/>
    </xf>
    <xf numFmtId="0" fontId="5" fillId="34" borderId="0" xfId="0" applyFont="1" applyFill="1" applyBorder="1" applyAlignment="1">
      <alignment horizontal="right"/>
    </xf>
    <xf numFmtId="0" fontId="23" fillId="34" borderId="0" xfId="0" applyFont="1" applyFill="1" applyBorder="1" applyAlignment="1">
      <alignment horizontal="left"/>
    </xf>
    <xf numFmtId="165" fontId="0" fillId="36" borderId="0" xfId="0" applyNumberFormat="1" applyFill="1" applyBorder="1" applyAlignment="1">
      <alignment horizontal="center" vertical="center"/>
    </xf>
    <xf numFmtId="0" fontId="3" fillId="0" borderId="27" xfId="0" applyFont="1" applyBorder="1" applyAlignment="1">
      <alignment horizontal="left" vertical="center"/>
    </xf>
    <xf numFmtId="1" fontId="0" fillId="36" borderId="0" xfId="0" applyNumberFormat="1" applyFill="1" applyBorder="1" applyAlignment="1">
      <alignment horizontal="center" vertical="center"/>
    </xf>
    <xf numFmtId="0" fontId="84" fillId="34" borderId="14" xfId="0" applyFont="1" applyFill="1" applyBorder="1" applyAlignment="1">
      <alignment horizontal="left"/>
    </xf>
    <xf numFmtId="0" fontId="19" fillId="0" borderId="24" xfId="0" applyFont="1" applyBorder="1" applyAlignment="1">
      <alignment vertical="top"/>
    </xf>
    <xf numFmtId="170" fontId="0" fillId="0" borderId="26" xfId="0" applyNumberFormat="1" applyFont="1" applyBorder="1" applyAlignment="1">
      <alignment horizontal="center" vertical="top"/>
    </xf>
    <xf numFmtId="188" fontId="0" fillId="0" borderId="26" xfId="0" applyNumberFormat="1" applyBorder="1" applyAlignment="1">
      <alignment horizontal="center" vertical="top"/>
    </xf>
    <xf numFmtId="177" fontId="0" fillId="0" borderId="26" xfId="0" applyNumberFormat="1" applyBorder="1" applyAlignment="1">
      <alignment horizontal="center" vertical="top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0" fillId="39" borderId="0" xfId="0" applyFill="1" applyAlignment="1">
      <alignment/>
    </xf>
    <xf numFmtId="1" fontId="0" fillId="35" borderId="25" xfId="0" applyNumberFormat="1" applyFill="1" applyBorder="1" applyAlignment="1" quotePrefix="1">
      <alignment horizontal="right"/>
    </xf>
    <xf numFmtId="0" fontId="0" fillId="38" borderId="0" xfId="0" applyFill="1" applyAlignment="1">
      <alignment/>
    </xf>
    <xf numFmtId="1" fontId="0" fillId="35" borderId="32" xfId="0" applyNumberFormat="1" applyFill="1" applyBorder="1" applyAlignment="1" quotePrefix="1">
      <alignment horizontal="right"/>
    </xf>
    <xf numFmtId="165" fontId="1" fillId="0" borderId="13" xfId="0" applyNumberFormat="1" applyFont="1" applyBorder="1" applyAlignment="1">
      <alignment horizontal="center" vertical="center"/>
    </xf>
    <xf numFmtId="165" fontId="1" fillId="36" borderId="23" xfId="0" applyNumberFormat="1" applyFont="1" applyFill="1" applyBorder="1" applyAlignment="1">
      <alignment horizontal="center" vertical="center"/>
    </xf>
    <xf numFmtId="165" fontId="1" fillId="36" borderId="27" xfId="0" applyNumberFormat="1" applyFont="1" applyFill="1" applyBorder="1" applyAlignment="1">
      <alignment horizontal="center" vertical="center"/>
    </xf>
    <xf numFmtId="1" fontId="1" fillId="0" borderId="26" xfId="0" applyNumberFormat="1" applyFont="1" applyBorder="1" applyAlignment="1">
      <alignment horizontal="center" vertical="center"/>
    </xf>
    <xf numFmtId="168" fontId="0" fillId="36" borderId="10" xfId="0" applyNumberFormat="1" applyFill="1" applyBorder="1" applyAlignment="1">
      <alignment horizontal="left"/>
    </xf>
    <xf numFmtId="0" fontId="85" fillId="36" borderId="0" xfId="0" applyFont="1" applyFill="1" applyBorder="1" applyAlignment="1">
      <alignment horizontal="left"/>
    </xf>
    <xf numFmtId="0" fontId="0" fillId="36" borderId="0" xfId="0" applyFill="1" applyAlignment="1">
      <alignment/>
    </xf>
    <xf numFmtId="208" fontId="0" fillId="38" borderId="33" xfId="0" applyNumberFormat="1" applyFill="1" applyBorder="1" applyAlignment="1">
      <alignment horizontal="center"/>
    </xf>
    <xf numFmtId="208" fontId="0" fillId="38" borderId="34" xfId="0" applyNumberFormat="1" applyFill="1" applyBorder="1" applyAlignment="1">
      <alignment horizontal="center"/>
    </xf>
    <xf numFmtId="165" fontId="0" fillId="38" borderId="33" xfId="0" applyNumberFormat="1" applyFill="1" applyBorder="1" applyAlignment="1">
      <alignment horizontal="center"/>
    </xf>
    <xf numFmtId="165" fontId="0" fillId="38" borderId="34" xfId="0" applyNumberFormat="1" applyFill="1" applyBorder="1" applyAlignment="1">
      <alignment horizontal="center"/>
    </xf>
    <xf numFmtId="0" fontId="0" fillId="38" borderId="35" xfId="0" applyFill="1" applyBorder="1" applyAlignment="1">
      <alignment/>
    </xf>
    <xf numFmtId="0" fontId="0" fillId="38" borderId="36" xfId="0" applyFill="1" applyBorder="1" applyAlignment="1">
      <alignment/>
    </xf>
    <xf numFmtId="10" fontId="0" fillId="38" borderId="37" xfId="0" applyNumberFormat="1" applyFill="1" applyBorder="1" applyAlignment="1">
      <alignment/>
    </xf>
    <xf numFmtId="168" fontId="7" fillId="34" borderId="0" xfId="0" applyNumberFormat="1" applyFont="1" applyFill="1" applyBorder="1" applyAlignment="1">
      <alignment horizontal="left"/>
    </xf>
    <xf numFmtId="0" fontId="9" fillId="0" borderId="13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3" fillId="0" borderId="38" xfId="0" applyFont="1" applyBorder="1" applyAlignment="1">
      <alignment horizontal="left" vertical="center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36" borderId="39" xfId="0" applyFont="1" applyFill="1" applyBorder="1" applyAlignment="1">
      <alignment horizontal="center" vertical="center"/>
    </xf>
    <xf numFmtId="0" fontId="5" fillId="0" borderId="41" xfId="0" applyFont="1" applyBorder="1" applyAlignment="1">
      <alignment horizontal="left" vertical="center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2" fontId="0" fillId="36" borderId="43" xfId="0" applyNumberFormat="1" applyFill="1" applyBorder="1" applyAlignment="1">
      <alignment horizontal="center" vertical="center"/>
    </xf>
    <xf numFmtId="1" fontId="0" fillId="0" borderId="42" xfId="0" applyNumberFormat="1" applyBorder="1" applyAlignment="1">
      <alignment horizontal="center" vertical="center"/>
    </xf>
    <xf numFmtId="208" fontId="0" fillId="38" borderId="34" xfId="0" applyNumberFormat="1" applyFill="1" applyBorder="1" applyAlignment="1" quotePrefix="1">
      <alignment horizontal="center"/>
    </xf>
    <xf numFmtId="168" fontId="0" fillId="36" borderId="0" xfId="0" applyNumberFormat="1" applyFill="1" applyBorder="1" applyAlignment="1">
      <alignment horizontal="left"/>
    </xf>
    <xf numFmtId="165" fontId="19" fillId="0" borderId="26" xfId="0" applyNumberFormat="1" applyFont="1" applyBorder="1" applyAlignment="1">
      <alignment horizontal="center" vertical="center"/>
    </xf>
    <xf numFmtId="165" fontId="0" fillId="0" borderId="13" xfId="0" applyNumberFormat="1" applyFont="1" applyBorder="1" applyAlignment="1">
      <alignment horizontal="center" vertical="center"/>
    </xf>
    <xf numFmtId="0" fontId="0" fillId="34" borderId="10" xfId="0" applyFill="1" applyBorder="1" applyAlignment="1">
      <alignment/>
    </xf>
    <xf numFmtId="165" fontId="0" fillId="0" borderId="21" xfId="0" applyNumberFormat="1" applyFont="1" applyBorder="1" applyAlignment="1">
      <alignment horizontal="center" vertical="center"/>
    </xf>
    <xf numFmtId="0" fontId="0" fillId="34" borderId="41" xfId="0" applyFill="1" applyBorder="1" applyAlignment="1">
      <alignment/>
    </xf>
    <xf numFmtId="0" fontId="5" fillId="0" borderId="44" xfId="0" applyFont="1" applyBorder="1" applyAlignment="1">
      <alignment horizontal="left" vertical="center"/>
    </xf>
    <xf numFmtId="165" fontId="19" fillId="0" borderId="21" xfId="0" applyNumberFormat="1" applyFont="1" applyBorder="1" applyAlignment="1">
      <alignment horizontal="center" vertical="center"/>
    </xf>
    <xf numFmtId="165" fontId="0" fillId="0" borderId="12" xfId="0" applyNumberFormat="1" applyFont="1" applyBorder="1" applyAlignment="1">
      <alignment horizontal="center" vertical="center"/>
    </xf>
    <xf numFmtId="2" fontId="0" fillId="36" borderId="13" xfId="0" applyNumberFormat="1" applyFont="1" applyFill="1" applyBorder="1" applyAlignment="1">
      <alignment horizontal="center" vertical="center"/>
    </xf>
    <xf numFmtId="3" fontId="0" fillId="38" borderId="30" xfId="0" applyNumberFormat="1" applyFont="1" applyFill="1" applyBorder="1" applyAlignment="1">
      <alignment horizontal="center" vertical="center"/>
    </xf>
    <xf numFmtId="165" fontId="0" fillId="38" borderId="13" xfId="0" applyNumberFormat="1" applyFont="1" applyFill="1" applyBorder="1" applyAlignment="1">
      <alignment horizontal="center" vertical="center"/>
    </xf>
    <xf numFmtId="3" fontId="0" fillId="38" borderId="13" xfId="0" applyNumberFormat="1" applyFont="1" applyFill="1" applyBorder="1" applyAlignment="1">
      <alignment horizontal="center" vertical="center"/>
    </xf>
    <xf numFmtId="0" fontId="0" fillId="0" borderId="13" xfId="0" applyBorder="1" applyAlignment="1">
      <alignment wrapText="1"/>
    </xf>
    <xf numFmtId="170" fontId="0" fillId="0" borderId="26" xfId="0" applyNumberFormat="1" applyFont="1" applyBorder="1" applyAlignment="1">
      <alignment horizontal="center" vertical="center"/>
    </xf>
    <xf numFmtId="188" fontId="0" fillId="0" borderId="26" xfId="0" applyNumberForma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78" fontId="0" fillId="0" borderId="13" xfId="0" applyNumberFormat="1" applyBorder="1" applyAlignment="1">
      <alignment horizontal="center" vertical="center"/>
    </xf>
    <xf numFmtId="9" fontId="0" fillId="0" borderId="13" xfId="0" applyNumberFormat="1" applyBorder="1" applyAlignment="1">
      <alignment horizontal="center" vertical="center"/>
    </xf>
    <xf numFmtId="0" fontId="0" fillId="38" borderId="13" xfId="0" applyFill="1" applyBorder="1" applyAlignment="1">
      <alignment/>
    </xf>
    <xf numFmtId="165" fontId="2" fillId="37" borderId="10" xfId="0" applyNumberFormat="1" applyFont="1" applyFill="1" applyBorder="1" applyAlignment="1">
      <alignment horizontal="center" vertical="center"/>
    </xf>
    <xf numFmtId="0" fontId="80" fillId="36" borderId="35" xfId="0" applyFont="1" applyFill="1" applyBorder="1" applyAlignment="1">
      <alignment horizontal="center"/>
    </xf>
    <xf numFmtId="0" fontId="80" fillId="36" borderId="45" xfId="0" applyFont="1" applyFill="1" applyBorder="1" applyAlignment="1">
      <alignment horizontal="center"/>
    </xf>
    <xf numFmtId="0" fontId="86" fillId="36" borderId="45" xfId="0" applyFont="1" applyFill="1" applyBorder="1" applyAlignment="1">
      <alignment horizontal="center" wrapText="1"/>
    </xf>
    <xf numFmtId="0" fontId="82" fillId="38" borderId="33" xfId="0" applyFont="1" applyFill="1" applyBorder="1" applyAlignment="1">
      <alignment horizontal="center"/>
    </xf>
    <xf numFmtId="0" fontId="82" fillId="38" borderId="34" xfId="0" applyFont="1" applyFill="1" applyBorder="1" applyAlignment="1">
      <alignment horizontal="center"/>
    </xf>
    <xf numFmtId="10" fontId="0" fillId="38" borderId="33" xfId="73" applyNumberFormat="1" applyFont="1" applyFill="1" applyBorder="1" applyAlignment="1">
      <alignment horizontal="center"/>
    </xf>
    <xf numFmtId="10" fontId="0" fillId="38" borderId="34" xfId="73" applyNumberFormat="1" applyFont="1" applyFill="1" applyBorder="1" applyAlignment="1">
      <alignment horizontal="center"/>
    </xf>
    <xf numFmtId="10" fontId="0" fillId="38" borderId="34" xfId="0" applyNumberFormat="1" applyFill="1" applyBorder="1" applyAlignment="1" quotePrefix="1">
      <alignment horizontal="center"/>
    </xf>
    <xf numFmtId="165" fontId="0" fillId="38" borderId="46" xfId="0" applyNumberFormat="1" applyFill="1" applyBorder="1" applyAlignment="1">
      <alignment horizontal="center"/>
    </xf>
    <xf numFmtId="0" fontId="5" fillId="0" borderId="47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27" xfId="0" applyFont="1" applyBorder="1" applyAlignment="1">
      <alignment horizontal="left" vertical="center"/>
    </xf>
    <xf numFmtId="0" fontId="0" fillId="36" borderId="17" xfId="0" applyFill="1" applyBorder="1" applyAlignment="1">
      <alignment/>
    </xf>
    <xf numFmtId="0" fontId="0" fillId="36" borderId="0" xfId="0" applyFill="1" applyBorder="1" applyAlignment="1">
      <alignment horizontal="left"/>
    </xf>
    <xf numFmtId="0" fontId="3" fillId="0" borderId="24" xfId="0" applyFont="1" applyBorder="1" applyAlignment="1">
      <alignment horizontal="left" vertical="center"/>
    </xf>
    <xf numFmtId="0" fontId="0" fillId="38" borderId="31" xfId="0" applyFill="1" applyBorder="1" applyAlignment="1">
      <alignment horizontal="right"/>
    </xf>
    <xf numFmtId="0" fontId="0" fillId="38" borderId="28" xfId="0" applyFill="1" applyBorder="1" applyAlignment="1">
      <alignment horizontal="right"/>
    </xf>
    <xf numFmtId="0" fontId="0" fillId="38" borderId="25" xfId="0" applyFill="1" applyBorder="1" applyAlignment="1">
      <alignment horizontal="right"/>
    </xf>
    <xf numFmtId="0" fontId="0" fillId="38" borderId="30" xfId="0" applyFill="1" applyBorder="1" applyAlignment="1">
      <alignment horizontal="right"/>
    </xf>
    <xf numFmtId="0" fontId="0" fillId="38" borderId="32" xfId="0" applyFill="1" applyBorder="1" applyAlignment="1">
      <alignment horizontal="right"/>
    </xf>
    <xf numFmtId="0" fontId="0" fillId="38" borderId="29" xfId="0" applyFill="1" applyBorder="1" applyAlignment="1">
      <alignment horizontal="right"/>
    </xf>
    <xf numFmtId="0" fontId="0" fillId="38" borderId="28" xfId="0" applyFill="1" applyBorder="1" applyAlignment="1">
      <alignment horizontal="left"/>
    </xf>
    <xf numFmtId="0" fontId="0" fillId="38" borderId="23" xfId="0" applyFill="1" applyBorder="1" applyAlignment="1">
      <alignment horizontal="right"/>
    </xf>
    <xf numFmtId="0" fontId="0" fillId="38" borderId="24" xfId="0" applyFill="1" applyBorder="1" applyAlignment="1">
      <alignment horizontal="right"/>
    </xf>
    <xf numFmtId="0" fontId="0" fillId="38" borderId="27" xfId="0" applyFill="1" applyBorder="1" applyAlignment="1">
      <alignment horizontal="right"/>
    </xf>
    <xf numFmtId="0" fontId="0" fillId="38" borderId="27" xfId="0" applyFill="1" applyBorder="1" applyAlignment="1">
      <alignment/>
    </xf>
    <xf numFmtId="0" fontId="0" fillId="38" borderId="24" xfId="0" applyFill="1" applyBorder="1" applyAlignment="1">
      <alignment/>
    </xf>
    <xf numFmtId="0" fontId="0" fillId="38" borderId="10" xfId="0" applyFill="1" applyBorder="1" applyAlignment="1">
      <alignment horizontal="right"/>
    </xf>
    <xf numFmtId="0" fontId="0" fillId="40" borderId="0" xfId="0" applyFill="1" applyAlignment="1">
      <alignment/>
    </xf>
    <xf numFmtId="168" fontId="87" fillId="38" borderId="10" xfId="0" applyNumberFormat="1" applyFont="1" applyFill="1" applyBorder="1" applyAlignment="1">
      <alignment horizontal="left"/>
    </xf>
    <xf numFmtId="0" fontId="87" fillId="38" borderId="32" xfId="0" applyFont="1" applyFill="1" applyBorder="1" applyAlignment="1">
      <alignment horizontal="left"/>
    </xf>
    <xf numFmtId="207" fontId="88" fillId="38" borderId="29" xfId="0" applyNumberFormat="1" applyFont="1" applyFill="1" applyBorder="1" applyAlignment="1">
      <alignment horizontal="left"/>
    </xf>
    <xf numFmtId="205" fontId="0" fillId="38" borderId="11" xfId="0" applyNumberFormat="1" applyFill="1" applyBorder="1" applyAlignment="1">
      <alignment horizontal="left"/>
    </xf>
    <xf numFmtId="205" fontId="0" fillId="38" borderId="0" xfId="0" applyNumberFormat="1" applyFill="1" applyBorder="1" applyAlignment="1">
      <alignment horizontal="left"/>
    </xf>
    <xf numFmtId="205" fontId="0" fillId="38" borderId="10" xfId="0" applyNumberFormat="1" applyFill="1" applyBorder="1" applyAlignment="1">
      <alignment horizontal="left"/>
    </xf>
    <xf numFmtId="182" fontId="0" fillId="38" borderId="28" xfId="0" applyNumberFormat="1" applyFont="1" applyFill="1" applyBorder="1" applyAlignment="1">
      <alignment horizontal="left"/>
    </xf>
    <xf numFmtId="182" fontId="0" fillId="38" borderId="30" xfId="0" applyNumberFormat="1" applyFont="1" applyFill="1" applyBorder="1" applyAlignment="1">
      <alignment horizontal="left"/>
    </xf>
    <xf numFmtId="182" fontId="0" fillId="38" borderId="29" xfId="0" applyNumberFormat="1" applyFont="1" applyFill="1" applyBorder="1" applyAlignment="1">
      <alignment horizontal="left"/>
    </xf>
    <xf numFmtId="0" fontId="0" fillId="38" borderId="31" xfId="0" applyFill="1" applyBorder="1" applyAlignment="1" quotePrefix="1">
      <alignment horizontal="right"/>
    </xf>
    <xf numFmtId="0" fontId="0" fillId="38" borderId="11" xfId="0" applyFill="1" applyBorder="1" applyAlignment="1">
      <alignment/>
    </xf>
    <xf numFmtId="205" fontId="0" fillId="38" borderId="11" xfId="0" applyNumberFormat="1" applyFont="1" applyFill="1" applyBorder="1" applyAlignment="1">
      <alignment horizontal="left"/>
    </xf>
    <xf numFmtId="46" fontId="0" fillId="38" borderId="25" xfId="0" applyNumberFormat="1" applyFill="1" applyBorder="1" applyAlignment="1" quotePrefix="1">
      <alignment horizontal="right"/>
    </xf>
    <xf numFmtId="205" fontId="0" fillId="38" borderId="0" xfId="0" applyNumberFormat="1" applyFont="1" applyFill="1" applyBorder="1" applyAlignment="1">
      <alignment horizontal="left"/>
    </xf>
    <xf numFmtId="1" fontId="0" fillId="38" borderId="25" xfId="0" applyNumberFormat="1" applyFill="1" applyBorder="1" applyAlignment="1" quotePrefix="1">
      <alignment horizontal="right"/>
    </xf>
    <xf numFmtId="1" fontId="0" fillId="38" borderId="32" xfId="0" applyNumberFormat="1" applyFill="1" applyBorder="1" applyAlignment="1" quotePrefix="1">
      <alignment horizontal="right"/>
    </xf>
    <xf numFmtId="0" fontId="0" fillId="38" borderId="25" xfId="0" applyFill="1" applyBorder="1" applyAlignment="1">
      <alignment horizontal="center"/>
    </xf>
    <xf numFmtId="0" fontId="0" fillId="38" borderId="0" xfId="0" applyFill="1" applyBorder="1" applyAlignment="1">
      <alignment horizontal="left" vertical="center"/>
    </xf>
    <xf numFmtId="1" fontId="0" fillId="38" borderId="31" xfId="0" applyNumberFormat="1" applyFill="1" applyBorder="1" applyAlignment="1" quotePrefix="1">
      <alignment horizontal="right"/>
    </xf>
    <xf numFmtId="0" fontId="0" fillId="38" borderId="11" xfId="0" applyFill="1" applyBorder="1" applyAlignment="1">
      <alignment horizontal="right"/>
    </xf>
    <xf numFmtId="181" fontId="0" fillId="38" borderId="11" xfId="0" applyNumberFormat="1" applyFont="1" applyFill="1" applyBorder="1" applyAlignment="1">
      <alignment horizontal="left"/>
    </xf>
    <xf numFmtId="181" fontId="0" fillId="38" borderId="0" xfId="0" applyNumberFormat="1" applyFont="1" applyFill="1" applyBorder="1" applyAlignment="1">
      <alignment horizontal="left"/>
    </xf>
    <xf numFmtId="181" fontId="0" fillId="38" borderId="0" xfId="0" applyNumberFormat="1" applyFill="1" applyBorder="1" applyAlignment="1">
      <alignment horizontal="left"/>
    </xf>
    <xf numFmtId="181" fontId="0" fillId="38" borderId="10" xfId="0" applyNumberFormat="1" applyFill="1" applyBorder="1" applyAlignment="1">
      <alignment horizontal="left"/>
    </xf>
    <xf numFmtId="0" fontId="0" fillId="38" borderId="11" xfId="0" applyFont="1" applyFill="1" applyBorder="1" applyAlignment="1">
      <alignment horizontal="right"/>
    </xf>
    <xf numFmtId="0" fontId="0" fillId="38" borderId="11" xfId="0" applyFont="1" applyFill="1" applyBorder="1" applyAlignment="1">
      <alignment/>
    </xf>
    <xf numFmtId="0" fontId="0" fillId="38" borderId="0" xfId="0" applyFont="1" applyFill="1" applyBorder="1" applyAlignment="1">
      <alignment horizontal="right"/>
    </xf>
    <xf numFmtId="0" fontId="0" fillId="38" borderId="0" xfId="0" applyFont="1" applyFill="1" applyBorder="1" applyAlignment="1">
      <alignment/>
    </xf>
    <xf numFmtId="0" fontId="0" fillId="38" borderId="0" xfId="0" applyFont="1" applyFill="1" applyBorder="1" applyAlignment="1">
      <alignment/>
    </xf>
    <xf numFmtId="0" fontId="0" fillId="38" borderId="10" xfId="0" applyFont="1" applyFill="1" applyBorder="1" applyAlignment="1">
      <alignment horizontal="right"/>
    </xf>
    <xf numFmtId="0" fontId="0" fillId="38" borderId="10" xfId="0" applyFont="1" applyFill="1" applyBorder="1" applyAlignment="1">
      <alignment/>
    </xf>
    <xf numFmtId="181" fontId="0" fillId="38" borderId="10" xfId="0" applyNumberFormat="1" applyFont="1" applyFill="1" applyBorder="1" applyAlignment="1">
      <alignment horizontal="left"/>
    </xf>
    <xf numFmtId="198" fontId="0" fillId="38" borderId="28" xfId="0" applyNumberFormat="1" applyFill="1" applyBorder="1" applyAlignment="1" quotePrefix="1">
      <alignment horizontal="center" vertical="center"/>
    </xf>
    <xf numFmtId="204" fontId="0" fillId="38" borderId="29" xfId="0" applyNumberFormat="1" applyFill="1" applyBorder="1" applyAlignment="1">
      <alignment horizontal="center" vertical="center"/>
    </xf>
    <xf numFmtId="205" fontId="0" fillId="38" borderId="28" xfId="0" applyNumberFormat="1" applyFill="1" applyBorder="1" applyAlignment="1">
      <alignment horizontal="center" vertical="center"/>
    </xf>
    <xf numFmtId="209" fontId="0" fillId="38" borderId="29" xfId="0" applyNumberFormat="1" applyFill="1" applyBorder="1" applyAlignment="1">
      <alignment horizontal="center" vertical="center"/>
    </xf>
    <xf numFmtId="210" fontId="0" fillId="38" borderId="29" xfId="0" applyNumberFormat="1" applyFill="1" applyBorder="1" applyAlignment="1">
      <alignment horizontal="center" vertical="center"/>
    </xf>
    <xf numFmtId="202" fontId="0" fillId="38" borderId="28" xfId="0" applyNumberFormat="1" applyFill="1" applyBorder="1" applyAlignment="1" quotePrefix="1">
      <alignment horizontal="center" vertical="center"/>
    </xf>
    <xf numFmtId="182" fontId="0" fillId="38" borderId="29" xfId="0" applyNumberFormat="1" applyFill="1" applyBorder="1" applyAlignment="1">
      <alignment horizontal="center" vertical="center"/>
    </xf>
    <xf numFmtId="205" fontId="0" fillId="38" borderId="10" xfId="0" applyNumberFormat="1" applyFont="1" applyFill="1" applyBorder="1" applyAlignment="1">
      <alignment horizontal="left"/>
    </xf>
    <xf numFmtId="165" fontId="1" fillId="38" borderId="26" xfId="0" applyNumberFormat="1" applyFont="1" applyFill="1" applyBorder="1" applyAlignment="1">
      <alignment horizontal="center" vertical="center"/>
    </xf>
    <xf numFmtId="0" fontId="5" fillId="38" borderId="41" xfId="0" applyFont="1" applyFill="1" applyBorder="1" applyAlignment="1">
      <alignment horizontal="left" vertical="center"/>
    </xf>
    <xf numFmtId="0" fontId="5" fillId="38" borderId="0" xfId="0" applyFont="1" applyFill="1" applyBorder="1" applyAlignment="1">
      <alignment horizontal="left" vertical="center"/>
    </xf>
    <xf numFmtId="0" fontId="3" fillId="38" borderId="0" xfId="0" applyFont="1" applyFill="1" applyBorder="1" applyAlignment="1">
      <alignment horizontal="left" vertical="center"/>
    </xf>
    <xf numFmtId="0" fontId="3" fillId="0" borderId="48" xfId="0" applyFont="1" applyBorder="1" applyAlignment="1" quotePrefix="1">
      <alignment horizontal="left" vertical="center"/>
    </xf>
    <xf numFmtId="0" fontId="3" fillId="0" borderId="19" xfId="0" applyFont="1" applyBorder="1" applyAlignment="1" quotePrefix="1">
      <alignment horizontal="left" vertical="center"/>
    </xf>
    <xf numFmtId="0" fontId="3" fillId="0" borderId="49" xfId="0" applyFont="1" applyBorder="1" applyAlignment="1">
      <alignment horizontal="left" vertical="center"/>
    </xf>
    <xf numFmtId="165" fontId="0" fillId="0" borderId="50" xfId="0" applyNumberFormat="1" applyBorder="1" applyAlignment="1">
      <alignment horizontal="center" vertical="center"/>
    </xf>
    <xf numFmtId="2" fontId="0" fillId="36" borderId="19" xfId="0" applyNumberFormat="1" applyFill="1" applyBorder="1" applyAlignment="1">
      <alignment horizontal="center" vertical="center"/>
    </xf>
    <xf numFmtId="1" fontId="0" fillId="36" borderId="19" xfId="0" applyNumberFormat="1" applyFill="1" applyBorder="1" applyAlignment="1">
      <alignment horizontal="center" vertical="center"/>
    </xf>
    <xf numFmtId="0" fontId="5" fillId="34" borderId="20" xfId="0" applyFont="1" applyFill="1" applyBorder="1" applyAlignment="1">
      <alignment horizontal="left"/>
    </xf>
    <xf numFmtId="0" fontId="7" fillId="0" borderId="51" xfId="0" applyFont="1" applyBorder="1" applyAlignment="1">
      <alignment horizontal="left" vertical="center"/>
    </xf>
    <xf numFmtId="165" fontId="0" fillId="0" borderId="26" xfId="0" applyNumberFormat="1" applyFont="1" applyBorder="1" applyAlignment="1">
      <alignment horizontal="center" vertical="center"/>
    </xf>
    <xf numFmtId="165" fontId="1" fillId="36" borderId="23" xfId="0" applyNumberFormat="1" applyFont="1" applyFill="1" applyBorder="1" applyAlignment="1">
      <alignment horizontal="left" vertical="center"/>
    </xf>
    <xf numFmtId="0" fontId="1" fillId="34" borderId="0" xfId="0" applyFont="1" applyFill="1" applyBorder="1" applyAlignment="1">
      <alignment horizontal="left"/>
    </xf>
    <xf numFmtId="0" fontId="1" fillId="34" borderId="0" xfId="0" applyFont="1" applyFill="1" applyBorder="1" applyAlignment="1">
      <alignment horizontal="center"/>
    </xf>
    <xf numFmtId="203" fontId="0" fillId="0" borderId="26" xfId="42" applyNumberFormat="1" applyFont="1" applyBorder="1" applyAlignment="1">
      <alignment horizontal="center" vertical="center"/>
    </xf>
    <xf numFmtId="203" fontId="0" fillId="0" borderId="21" xfId="42" applyNumberFormat="1" applyFont="1" applyBorder="1" applyAlignment="1">
      <alignment horizontal="center" vertical="center"/>
    </xf>
    <xf numFmtId="203" fontId="19" fillId="0" borderId="26" xfId="42" applyNumberFormat="1" applyFont="1" applyBorder="1" applyAlignment="1">
      <alignment horizontal="center" vertical="center"/>
    </xf>
    <xf numFmtId="203" fontId="19" fillId="0" borderId="21" xfId="42" applyNumberFormat="1" applyFont="1" applyBorder="1" applyAlignment="1">
      <alignment horizontal="center" vertical="center"/>
    </xf>
    <xf numFmtId="0" fontId="3" fillId="36" borderId="0" xfId="0" applyFont="1" applyFill="1" applyBorder="1" applyAlignment="1">
      <alignment horizontal="left" vertical="center"/>
    </xf>
    <xf numFmtId="0" fontId="5" fillId="34" borderId="30" xfId="0" applyFont="1" applyFill="1" applyBorder="1" applyAlignment="1">
      <alignment horizontal="right"/>
    </xf>
    <xf numFmtId="0" fontId="0" fillId="38" borderId="52" xfId="0" applyFill="1" applyBorder="1" applyAlignment="1">
      <alignment/>
    </xf>
    <xf numFmtId="0" fontId="3" fillId="38" borderId="53" xfId="0" applyFont="1" applyFill="1" applyBorder="1" applyAlignment="1" quotePrefix="1">
      <alignment horizontal="left" vertical="center"/>
    </xf>
    <xf numFmtId="0" fontId="3" fillId="38" borderId="53" xfId="0" applyFont="1" applyFill="1" applyBorder="1" applyAlignment="1">
      <alignment horizontal="left" vertical="center"/>
    </xf>
    <xf numFmtId="165" fontId="0" fillId="38" borderId="53" xfId="0" applyNumberFormat="1" applyFill="1" applyBorder="1" applyAlignment="1">
      <alignment horizontal="center" vertical="center"/>
    </xf>
    <xf numFmtId="2" fontId="0" fillId="38" borderId="53" xfId="0" applyNumberFormat="1" applyFill="1" applyBorder="1" applyAlignment="1">
      <alignment horizontal="center" vertical="center"/>
    </xf>
    <xf numFmtId="1" fontId="0" fillId="38" borderId="53" xfId="0" applyNumberFormat="1" applyFill="1" applyBorder="1" applyAlignment="1">
      <alignment horizontal="center" vertical="center"/>
    </xf>
    <xf numFmtId="0" fontId="3" fillId="0" borderId="44" xfId="0" applyFont="1" applyBorder="1" applyAlignment="1">
      <alignment horizontal="left" vertical="center"/>
    </xf>
    <xf numFmtId="0" fontId="2" fillId="36" borderId="13" xfId="0" applyFont="1" applyFill="1" applyBorder="1" applyAlignment="1">
      <alignment horizontal="center" vertical="center"/>
    </xf>
    <xf numFmtId="0" fontId="7" fillId="0" borderId="54" xfId="0" applyFont="1" applyBorder="1" applyAlignment="1">
      <alignment horizontal="left" vertical="center"/>
    </xf>
    <xf numFmtId="0" fontId="5" fillId="0" borderId="55" xfId="0" applyFont="1" applyBorder="1" applyAlignment="1">
      <alignment horizontal="left" vertical="center"/>
    </xf>
    <xf numFmtId="0" fontId="3" fillId="0" borderId="55" xfId="0" applyFont="1" applyBorder="1" applyAlignment="1">
      <alignment horizontal="left" vertical="center"/>
    </xf>
    <xf numFmtId="0" fontId="3" fillId="0" borderId="56" xfId="0" applyFont="1" applyBorder="1" applyAlignment="1" quotePrefix="1">
      <alignment horizontal="left" vertical="center"/>
    </xf>
    <xf numFmtId="0" fontId="3" fillId="0" borderId="57" xfId="0" applyFont="1" applyBorder="1" applyAlignment="1">
      <alignment horizontal="left" vertical="center"/>
    </xf>
    <xf numFmtId="165" fontId="0" fillId="0" borderId="43" xfId="0" applyNumberFormat="1" applyBorder="1" applyAlignment="1">
      <alignment horizontal="center" vertical="center"/>
    </xf>
    <xf numFmtId="2" fontId="0" fillId="36" borderId="56" xfId="0" applyNumberFormat="1" applyFill="1" applyBorder="1" applyAlignment="1">
      <alignment horizontal="center" vertical="center"/>
    </xf>
    <xf numFmtId="203" fontId="0" fillId="0" borderId="43" xfId="42" applyNumberFormat="1" applyFont="1" applyBorder="1" applyAlignment="1">
      <alignment horizontal="center" vertical="center"/>
    </xf>
    <xf numFmtId="0" fontId="0" fillId="34" borderId="44" xfId="0" applyFill="1" applyBorder="1" applyAlignment="1">
      <alignment/>
    </xf>
    <xf numFmtId="0" fontId="84" fillId="34" borderId="15" xfId="0" applyFont="1" applyFill="1" applyBorder="1" applyAlignment="1">
      <alignment horizontal="left" vertical="center"/>
    </xf>
    <xf numFmtId="0" fontId="89" fillId="34" borderId="15" xfId="0" applyFont="1" applyFill="1" applyBorder="1" applyAlignment="1">
      <alignment/>
    </xf>
    <xf numFmtId="165" fontId="19" fillId="0" borderId="43" xfId="0" applyNumberFormat="1" applyFont="1" applyBorder="1" applyAlignment="1">
      <alignment horizontal="center" vertical="center"/>
    </xf>
    <xf numFmtId="0" fontId="0" fillId="34" borderId="56" xfId="0" applyFill="1" applyBorder="1" applyAlignment="1">
      <alignment/>
    </xf>
    <xf numFmtId="203" fontId="19" fillId="0" borderId="43" xfId="42" applyNumberFormat="1" applyFont="1" applyBorder="1" applyAlignment="1">
      <alignment horizontal="center" vertical="center"/>
    </xf>
    <xf numFmtId="165" fontId="1" fillId="0" borderId="40" xfId="0" applyNumberFormat="1" applyFont="1" applyBorder="1" applyAlignment="1">
      <alignment horizontal="center" vertical="center"/>
    </xf>
    <xf numFmtId="2" fontId="1" fillId="0" borderId="40" xfId="0" applyNumberFormat="1" applyFont="1" applyBorder="1" applyAlignment="1">
      <alignment horizontal="center" vertical="center"/>
    </xf>
    <xf numFmtId="0" fontId="0" fillId="34" borderId="55" xfId="0" applyFont="1" applyFill="1" applyBorder="1" applyAlignment="1">
      <alignment/>
    </xf>
    <xf numFmtId="0" fontId="0" fillId="34" borderId="41" xfId="0" applyFill="1" applyBorder="1" applyAlignment="1">
      <alignment horizontal="left"/>
    </xf>
    <xf numFmtId="0" fontId="0" fillId="0" borderId="42" xfId="0" applyBorder="1" applyAlignment="1">
      <alignment horizontal="center" vertical="center"/>
    </xf>
    <xf numFmtId="0" fontId="0" fillId="36" borderId="56" xfId="0" applyFill="1" applyBorder="1" applyAlignment="1">
      <alignment horizontal="center" vertical="center"/>
    </xf>
    <xf numFmtId="0" fontId="24" fillId="38" borderId="58" xfId="0" applyFont="1" applyFill="1" applyBorder="1" applyAlignment="1">
      <alignment vertical="center"/>
    </xf>
    <xf numFmtId="0" fontId="3" fillId="38" borderId="59" xfId="0" applyFont="1" applyFill="1" applyBorder="1" applyAlignment="1">
      <alignment vertical="center"/>
    </xf>
    <xf numFmtId="2" fontId="0" fillId="38" borderId="59" xfId="0" applyNumberFormat="1" applyFill="1" applyBorder="1" applyAlignment="1">
      <alignment horizontal="center" vertical="center"/>
    </xf>
    <xf numFmtId="0" fontId="85" fillId="36" borderId="0" xfId="0" applyFont="1" applyFill="1" applyBorder="1" applyAlignment="1">
      <alignment horizontal="center"/>
    </xf>
    <xf numFmtId="0" fontId="0" fillId="15" borderId="0" xfId="0" applyFill="1" applyBorder="1" applyAlignment="1">
      <alignment/>
    </xf>
    <xf numFmtId="0" fontId="0" fillId="34" borderId="0" xfId="0" applyFill="1" applyBorder="1" applyAlignment="1" quotePrefix="1">
      <alignment vertical="top"/>
    </xf>
    <xf numFmtId="193" fontId="0" fillId="38" borderId="28" xfId="0" applyNumberFormat="1" applyFill="1" applyBorder="1" applyAlignment="1">
      <alignment horizontal="center" vertical="center"/>
    </xf>
    <xf numFmtId="198" fontId="0" fillId="38" borderId="28" xfId="0" applyNumberFormat="1" applyFill="1" applyBorder="1" applyAlignment="1">
      <alignment horizontal="center" vertical="center"/>
    </xf>
    <xf numFmtId="202" fontId="0" fillId="38" borderId="28" xfId="0" applyNumberFormat="1" applyFill="1" applyBorder="1" applyAlignment="1">
      <alignment horizontal="center" vertical="center"/>
    </xf>
    <xf numFmtId="165" fontId="1" fillId="0" borderId="24" xfId="0" applyNumberFormat="1" applyFont="1" applyBorder="1" applyAlignment="1">
      <alignment horizontal="center" vertical="center"/>
    </xf>
    <xf numFmtId="165" fontId="0" fillId="0" borderId="42" xfId="0" applyNumberFormat="1" applyBorder="1" applyAlignment="1">
      <alignment horizontal="center" vertical="center"/>
    </xf>
    <xf numFmtId="2" fontId="0" fillId="0" borderId="42" xfId="0" applyNumberFormat="1" applyBorder="1" applyAlignment="1">
      <alignment horizontal="center" vertical="center"/>
    </xf>
    <xf numFmtId="0" fontId="3" fillId="0" borderId="60" xfId="0" applyFont="1" applyBorder="1" applyAlignment="1" quotePrefix="1">
      <alignment horizontal="left" vertical="center"/>
    </xf>
    <xf numFmtId="2" fontId="0" fillId="0" borderId="26" xfId="0" applyNumberFormat="1" applyFont="1" applyBorder="1" applyAlignment="1">
      <alignment horizontal="center" vertical="center"/>
    </xf>
    <xf numFmtId="2" fontId="1" fillId="0" borderId="13" xfId="0" applyNumberFormat="1" applyFont="1" applyBorder="1" applyAlignment="1">
      <alignment horizontal="center" vertical="center"/>
    </xf>
    <xf numFmtId="2" fontId="19" fillId="0" borderId="26" xfId="0" applyNumberFormat="1" applyFont="1" applyBorder="1" applyAlignment="1">
      <alignment horizontal="center" vertical="center"/>
    </xf>
    <xf numFmtId="0" fontId="0" fillId="41" borderId="23" xfId="0" applyFill="1" applyBorder="1" applyAlignment="1">
      <alignment horizontal="right"/>
    </xf>
    <xf numFmtId="0" fontId="0" fillId="41" borderId="24" xfId="0" applyFill="1" applyBorder="1" applyAlignment="1">
      <alignment horizontal="right"/>
    </xf>
    <xf numFmtId="0" fontId="0" fillId="41" borderId="31" xfId="0" applyFill="1" applyBorder="1" applyAlignment="1">
      <alignment horizontal="right"/>
    </xf>
    <xf numFmtId="0" fontId="0" fillId="41" borderId="28" xfId="0" applyFill="1" applyBorder="1" applyAlignment="1">
      <alignment horizontal="right"/>
    </xf>
    <xf numFmtId="0" fontId="0" fillId="41" borderId="25" xfId="0" applyFill="1" applyBorder="1" applyAlignment="1">
      <alignment horizontal="right"/>
    </xf>
    <xf numFmtId="0" fontId="0" fillId="41" borderId="30" xfId="0" applyFill="1" applyBorder="1" applyAlignment="1">
      <alignment horizontal="right"/>
    </xf>
    <xf numFmtId="0" fontId="0" fillId="41" borderId="32" xfId="0" applyFill="1" applyBorder="1" applyAlignment="1">
      <alignment horizontal="right"/>
    </xf>
    <xf numFmtId="0" fontId="0" fillId="41" borderId="29" xfId="0" applyFill="1" applyBorder="1" applyAlignment="1">
      <alignment horizontal="right"/>
    </xf>
    <xf numFmtId="0" fontId="65" fillId="38" borderId="11" xfId="0" applyFont="1" applyFill="1" applyBorder="1" applyAlignment="1">
      <alignment/>
    </xf>
    <xf numFmtId="193" fontId="65" fillId="38" borderId="28" xfId="0" applyNumberFormat="1" applyFont="1" applyFill="1" applyBorder="1" applyAlignment="1">
      <alignment horizontal="center" vertical="center"/>
    </xf>
    <xf numFmtId="0" fontId="65" fillId="38" borderId="10" xfId="0" applyFont="1" applyFill="1" applyBorder="1" applyAlignment="1">
      <alignment/>
    </xf>
    <xf numFmtId="209" fontId="65" fillId="38" borderId="29" xfId="0" applyNumberFormat="1" applyFont="1" applyFill="1" applyBorder="1" applyAlignment="1">
      <alignment horizontal="center" vertical="center"/>
    </xf>
    <xf numFmtId="0" fontId="90" fillId="34" borderId="0" xfId="0" applyFont="1" applyFill="1" applyBorder="1" applyAlignment="1">
      <alignment horizontal="center"/>
    </xf>
    <xf numFmtId="0" fontId="65" fillId="34" borderId="0" xfId="0" applyFont="1" applyFill="1" applyBorder="1" applyAlignment="1">
      <alignment/>
    </xf>
    <xf numFmtId="198" fontId="65" fillId="38" borderId="28" xfId="0" applyNumberFormat="1" applyFont="1" applyFill="1" applyBorder="1" applyAlignment="1">
      <alignment horizontal="center" vertical="center"/>
    </xf>
    <xf numFmtId="210" fontId="65" fillId="38" borderId="29" xfId="0" applyNumberFormat="1" applyFont="1" applyFill="1" applyBorder="1" applyAlignment="1">
      <alignment horizontal="center" vertical="center"/>
    </xf>
    <xf numFmtId="202" fontId="65" fillId="38" borderId="28" xfId="0" applyNumberFormat="1" applyFont="1" applyFill="1" applyBorder="1" applyAlignment="1">
      <alignment horizontal="center" vertical="center"/>
    </xf>
    <xf numFmtId="0" fontId="65" fillId="36" borderId="0" xfId="0" applyFont="1" applyFill="1" applyBorder="1" applyAlignment="1">
      <alignment/>
    </xf>
    <xf numFmtId="0" fontId="65" fillId="35" borderId="25" xfId="0" applyFont="1" applyFill="1" applyBorder="1" applyAlignment="1">
      <alignment horizontal="center"/>
    </xf>
    <xf numFmtId="0" fontId="65" fillId="35" borderId="0" xfId="0" applyFont="1" applyFill="1" applyBorder="1" applyAlignment="1">
      <alignment/>
    </xf>
    <xf numFmtId="0" fontId="65" fillId="0" borderId="0" xfId="0" applyFont="1" applyBorder="1" applyAlignment="1">
      <alignment horizontal="left" vertical="center"/>
    </xf>
    <xf numFmtId="193" fontId="65" fillId="38" borderId="24" xfId="0" applyNumberFormat="1" applyFont="1" applyFill="1" applyBorder="1" applyAlignment="1">
      <alignment/>
    </xf>
    <xf numFmtId="1" fontId="65" fillId="38" borderId="31" xfId="0" applyNumberFormat="1" applyFont="1" applyFill="1" applyBorder="1" applyAlignment="1" quotePrefix="1">
      <alignment horizontal="right"/>
    </xf>
    <xf numFmtId="0" fontId="65" fillId="38" borderId="11" xfId="0" applyFont="1" applyFill="1" applyBorder="1" applyAlignment="1">
      <alignment/>
    </xf>
    <xf numFmtId="193" fontId="65" fillId="38" borderId="11" xfId="0" applyNumberFormat="1" applyFont="1" applyFill="1" applyBorder="1" applyAlignment="1">
      <alignment horizontal="center"/>
    </xf>
    <xf numFmtId="200" fontId="65" fillId="38" borderId="28" xfId="0" applyNumberFormat="1" applyFont="1" applyFill="1" applyBorder="1" applyAlignment="1">
      <alignment horizontal="center"/>
    </xf>
    <xf numFmtId="1" fontId="65" fillId="35" borderId="31" xfId="0" applyNumberFormat="1" applyFont="1" applyFill="1" applyBorder="1" applyAlignment="1" quotePrefix="1">
      <alignment horizontal="right"/>
    </xf>
    <xf numFmtId="195" fontId="65" fillId="38" borderId="11" xfId="0" applyNumberFormat="1" applyFont="1" applyFill="1" applyBorder="1" applyAlignment="1">
      <alignment horizontal="center"/>
    </xf>
    <xf numFmtId="1" fontId="65" fillId="38" borderId="25" xfId="0" applyNumberFormat="1" applyFont="1" applyFill="1" applyBorder="1" applyAlignment="1" quotePrefix="1">
      <alignment horizontal="right"/>
    </xf>
    <xf numFmtId="0" fontId="65" fillId="38" borderId="0" xfId="0" applyFont="1" applyFill="1" applyBorder="1" applyAlignment="1">
      <alignment horizontal="right"/>
    </xf>
    <xf numFmtId="0" fontId="65" fillId="38" borderId="0" xfId="0" applyFont="1" applyFill="1" applyBorder="1" applyAlignment="1">
      <alignment/>
    </xf>
    <xf numFmtId="193" fontId="65" fillId="38" borderId="0" xfId="0" applyNumberFormat="1" applyFont="1" applyFill="1" applyBorder="1" applyAlignment="1">
      <alignment horizontal="center"/>
    </xf>
    <xf numFmtId="200" fontId="65" fillId="38" borderId="30" xfId="0" applyNumberFormat="1" applyFont="1" applyFill="1" applyBorder="1" applyAlignment="1">
      <alignment horizontal="center"/>
    </xf>
    <xf numFmtId="1" fontId="65" fillId="35" borderId="25" xfId="0" applyNumberFormat="1" applyFont="1" applyFill="1" applyBorder="1" applyAlignment="1" quotePrefix="1">
      <alignment horizontal="right"/>
    </xf>
    <xf numFmtId="195" fontId="65" fillId="38" borderId="0" xfId="0" applyNumberFormat="1" applyFont="1" applyFill="1" applyBorder="1" applyAlignment="1">
      <alignment horizontal="center"/>
    </xf>
    <xf numFmtId="0" fontId="65" fillId="38" borderId="0" xfId="0" applyFont="1" applyFill="1" applyBorder="1" applyAlignment="1">
      <alignment/>
    </xf>
    <xf numFmtId="1" fontId="65" fillId="38" borderId="32" xfId="0" applyNumberFormat="1" applyFont="1" applyFill="1" applyBorder="1" applyAlignment="1" quotePrefix="1">
      <alignment horizontal="right"/>
    </xf>
    <xf numFmtId="0" fontId="65" fillId="38" borderId="10" xfId="0" applyFont="1" applyFill="1" applyBorder="1" applyAlignment="1">
      <alignment horizontal="right"/>
    </xf>
    <xf numFmtId="193" fontId="65" fillId="38" borderId="10" xfId="0" applyNumberFormat="1" applyFont="1" applyFill="1" applyBorder="1" applyAlignment="1">
      <alignment horizontal="center"/>
    </xf>
    <xf numFmtId="200" fontId="65" fillId="38" borderId="29" xfId="0" applyNumberFormat="1" applyFont="1" applyFill="1" applyBorder="1" applyAlignment="1">
      <alignment horizontal="center"/>
    </xf>
    <xf numFmtId="1" fontId="65" fillId="35" borderId="32" xfId="0" applyNumberFormat="1" applyFont="1" applyFill="1" applyBorder="1" applyAlignment="1" quotePrefix="1">
      <alignment horizontal="right"/>
    </xf>
    <xf numFmtId="195" fontId="65" fillId="38" borderId="10" xfId="0" applyNumberFormat="1" applyFont="1" applyFill="1" applyBorder="1" applyAlignment="1">
      <alignment horizontal="center"/>
    </xf>
    <xf numFmtId="0" fontId="65" fillId="36" borderId="0" xfId="0" applyFont="1" applyFill="1" applyBorder="1" applyAlignment="1">
      <alignment/>
    </xf>
    <xf numFmtId="0" fontId="65" fillId="36" borderId="0" xfId="0" applyFont="1" applyFill="1" applyBorder="1" applyAlignment="1" quotePrefix="1">
      <alignment/>
    </xf>
    <xf numFmtId="169" fontId="65" fillId="36" borderId="0" xfId="0" applyNumberFormat="1" applyFont="1" applyFill="1" applyBorder="1" applyAlignment="1">
      <alignment horizontal="left"/>
    </xf>
    <xf numFmtId="0" fontId="65" fillId="36" borderId="0" xfId="0" applyFont="1" applyFill="1" applyBorder="1" applyAlignment="1" quotePrefix="1">
      <alignment horizontal="center"/>
    </xf>
    <xf numFmtId="193" fontId="65" fillId="36" borderId="0" xfId="0" applyNumberFormat="1" applyFont="1" applyFill="1" applyBorder="1" applyAlignment="1">
      <alignment horizontal="center"/>
    </xf>
    <xf numFmtId="194" fontId="65" fillId="38" borderId="11" xfId="0" applyNumberFormat="1" applyFont="1" applyFill="1" applyBorder="1" applyAlignment="1">
      <alignment horizontal="center"/>
    </xf>
    <xf numFmtId="197" fontId="65" fillId="38" borderId="28" xfId="0" applyNumberFormat="1" applyFont="1" applyFill="1" applyBorder="1" applyAlignment="1">
      <alignment horizontal="center"/>
    </xf>
    <xf numFmtId="199" fontId="65" fillId="38" borderId="28" xfId="0" applyNumberFormat="1" applyFont="1" applyFill="1" applyBorder="1" applyAlignment="1">
      <alignment horizontal="center"/>
    </xf>
    <xf numFmtId="194" fontId="65" fillId="38" borderId="0" xfId="0" applyNumberFormat="1" applyFont="1" applyFill="1" applyBorder="1" applyAlignment="1">
      <alignment horizontal="center"/>
    </xf>
    <xf numFmtId="199" fontId="65" fillId="38" borderId="30" xfId="0" applyNumberFormat="1" applyFont="1" applyFill="1" applyBorder="1" applyAlignment="1">
      <alignment horizontal="center"/>
    </xf>
    <xf numFmtId="194" fontId="65" fillId="38" borderId="10" xfId="0" applyNumberFormat="1" applyFont="1" applyFill="1" applyBorder="1" applyAlignment="1">
      <alignment horizontal="center"/>
    </xf>
    <xf numFmtId="199" fontId="65" fillId="38" borderId="29" xfId="0" applyNumberFormat="1" applyFont="1" applyFill="1" applyBorder="1" applyAlignment="1">
      <alignment horizontal="center"/>
    </xf>
    <xf numFmtId="0" fontId="91" fillId="37" borderId="0" xfId="0" applyFont="1" applyFill="1" applyBorder="1" applyAlignment="1">
      <alignment/>
    </xf>
    <xf numFmtId="0" fontId="92" fillId="37" borderId="0" xfId="0" applyFont="1" applyFill="1" applyBorder="1" applyAlignment="1">
      <alignment/>
    </xf>
    <xf numFmtId="0" fontId="92" fillId="37" borderId="0" xfId="0" applyFont="1" applyFill="1" applyBorder="1" applyAlignment="1">
      <alignment/>
    </xf>
    <xf numFmtId="0" fontId="92" fillId="37" borderId="0" xfId="0" applyFont="1" applyFill="1" applyBorder="1" applyAlignment="1" quotePrefix="1">
      <alignment horizontal="center"/>
    </xf>
    <xf numFmtId="194" fontId="92" fillId="37" borderId="0" xfId="0" applyNumberFormat="1" applyFont="1" applyFill="1" applyBorder="1" applyAlignment="1">
      <alignment horizontal="center"/>
    </xf>
    <xf numFmtId="0" fontId="65" fillId="0" borderId="0" xfId="0" applyFont="1" applyAlignment="1">
      <alignment/>
    </xf>
    <xf numFmtId="0" fontId="65" fillId="34" borderId="20" xfId="0" applyFont="1" applyFill="1" applyBorder="1" applyAlignment="1">
      <alignment/>
    </xf>
    <xf numFmtId="0" fontId="65" fillId="34" borderId="17" xfId="0" applyFont="1" applyFill="1" applyBorder="1" applyAlignment="1">
      <alignment/>
    </xf>
    <xf numFmtId="0" fontId="65" fillId="38" borderId="0" xfId="0" applyFont="1" applyFill="1" applyAlignment="1">
      <alignment/>
    </xf>
    <xf numFmtId="0" fontId="65" fillId="0" borderId="0" xfId="0" applyFont="1" applyBorder="1" applyAlignment="1">
      <alignment/>
    </xf>
    <xf numFmtId="0" fontId="65" fillId="38" borderId="25" xfId="0" applyFont="1" applyFill="1" applyBorder="1" applyAlignment="1">
      <alignment horizontal="center"/>
    </xf>
    <xf numFmtId="0" fontId="65" fillId="38" borderId="0" xfId="0" applyFont="1" applyFill="1" applyBorder="1" applyAlignment="1">
      <alignment horizontal="left" vertical="center"/>
    </xf>
    <xf numFmtId="193" fontId="65" fillId="38" borderId="28" xfId="0" applyNumberFormat="1" applyFont="1" applyFill="1" applyBorder="1" applyAlignment="1">
      <alignment/>
    </xf>
    <xf numFmtId="0" fontId="65" fillId="0" borderId="0" xfId="0" applyFont="1" applyFill="1" applyAlignment="1">
      <alignment/>
    </xf>
    <xf numFmtId="200" fontId="93" fillId="38" borderId="28" xfId="0" applyNumberFormat="1" applyFont="1" applyFill="1" applyBorder="1" applyAlignment="1">
      <alignment horizontal="center"/>
    </xf>
    <xf numFmtId="200" fontId="93" fillId="38" borderId="30" xfId="0" applyNumberFormat="1" applyFont="1" applyFill="1" applyBorder="1" applyAlignment="1">
      <alignment horizontal="center"/>
    </xf>
    <xf numFmtId="200" fontId="93" fillId="38" borderId="29" xfId="0" applyNumberFormat="1" applyFont="1" applyFill="1" applyBorder="1" applyAlignment="1">
      <alignment horizontal="center"/>
    </xf>
    <xf numFmtId="0" fontId="92" fillId="38" borderId="0" xfId="0" applyFont="1" applyFill="1" applyBorder="1" applyAlignment="1">
      <alignment/>
    </xf>
    <xf numFmtId="0" fontId="92" fillId="34" borderId="20" xfId="0" applyFont="1" applyFill="1" applyBorder="1" applyAlignment="1">
      <alignment/>
    </xf>
    <xf numFmtId="196" fontId="92" fillId="37" borderId="0" xfId="0" applyNumberFormat="1" applyFont="1" applyFill="1" applyBorder="1" applyAlignment="1">
      <alignment horizontal="center"/>
    </xf>
    <xf numFmtId="0" fontId="92" fillId="34" borderId="17" xfId="0" applyFont="1" applyFill="1" applyBorder="1" applyAlignment="1">
      <alignment/>
    </xf>
    <xf numFmtId="0" fontId="92" fillId="0" borderId="0" xfId="0" applyFont="1" applyFill="1" applyAlignment="1">
      <alignment/>
    </xf>
    <xf numFmtId="0" fontId="92" fillId="0" borderId="0" xfId="0" applyFont="1" applyBorder="1" applyAlignment="1">
      <alignment/>
    </xf>
    <xf numFmtId="0" fontId="92" fillId="0" borderId="0" xfId="0" applyFont="1" applyAlignment="1">
      <alignment/>
    </xf>
    <xf numFmtId="0" fontId="92" fillId="38" borderId="0" xfId="0" applyFont="1" applyFill="1" applyAlignment="1">
      <alignment/>
    </xf>
    <xf numFmtId="0" fontId="92" fillId="39" borderId="0" xfId="0" applyFont="1" applyFill="1" applyAlignment="1">
      <alignment/>
    </xf>
    <xf numFmtId="0" fontId="2" fillId="0" borderId="61" xfId="0" applyFont="1" applyBorder="1" applyAlignment="1">
      <alignment horizontal="center" vertical="center"/>
    </xf>
    <xf numFmtId="1" fontId="0" fillId="0" borderId="27" xfId="0" applyNumberFormat="1" applyBorder="1" applyAlignment="1">
      <alignment horizontal="center" vertical="center"/>
    </xf>
    <xf numFmtId="1" fontId="0" fillId="0" borderId="56" xfId="0" applyNumberFormat="1" applyBorder="1" applyAlignment="1">
      <alignment horizontal="center" vertical="center"/>
    </xf>
    <xf numFmtId="165" fontId="0" fillId="0" borderId="48" xfId="0" applyNumberFormat="1" applyBorder="1" applyAlignment="1">
      <alignment horizontal="center" vertical="center"/>
    </xf>
    <xf numFmtId="206" fontId="0" fillId="0" borderId="0" xfId="0" applyNumberFormat="1" applyFont="1" applyBorder="1" applyAlignment="1">
      <alignment horizontal="center" vertical="center"/>
    </xf>
    <xf numFmtId="203" fontId="0" fillId="0" borderId="23" xfId="42" applyNumberFormat="1" applyFont="1" applyBorder="1" applyAlignment="1">
      <alignment horizontal="center" vertical="center"/>
    </xf>
    <xf numFmtId="203" fontId="0" fillId="0" borderId="32" xfId="42" applyNumberFormat="1" applyFont="1" applyBorder="1" applyAlignment="1">
      <alignment horizontal="center" vertical="center"/>
    </xf>
    <xf numFmtId="1" fontId="0" fillId="0" borderId="58" xfId="0" applyNumberFormat="1" applyBorder="1" applyAlignment="1">
      <alignment horizontal="center" vertical="center"/>
    </xf>
    <xf numFmtId="203" fontId="0" fillId="0" borderId="60" xfId="42" applyNumberFormat="1" applyFont="1" applyBorder="1" applyAlignment="1">
      <alignment horizontal="center" vertical="center"/>
    </xf>
    <xf numFmtId="211" fontId="19" fillId="0" borderId="23" xfId="42" applyNumberFormat="1" applyFont="1" applyBorder="1" applyAlignment="1">
      <alignment horizontal="center" vertical="center"/>
    </xf>
    <xf numFmtId="1" fontId="0" fillId="34" borderId="27" xfId="0" applyNumberFormat="1" applyFill="1" applyBorder="1" applyAlignment="1">
      <alignment/>
    </xf>
    <xf numFmtId="211" fontId="19" fillId="0" borderId="32" xfId="42" applyNumberFormat="1" applyFont="1" applyBorder="1" applyAlignment="1">
      <alignment horizontal="center" vertical="center"/>
    </xf>
    <xf numFmtId="1" fontId="0" fillId="34" borderId="10" xfId="0" applyNumberFormat="1" applyFill="1" applyBorder="1" applyAlignment="1">
      <alignment/>
    </xf>
    <xf numFmtId="211" fontId="19" fillId="0" borderId="62" xfId="42" applyNumberFormat="1" applyFont="1" applyBorder="1" applyAlignment="1">
      <alignment horizontal="center" vertical="center"/>
    </xf>
    <xf numFmtId="165" fontId="1" fillId="0" borderId="61" xfId="0" applyNumberFormat="1" applyFont="1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34" borderId="63" xfId="0" applyFill="1" applyBorder="1" applyAlignment="1">
      <alignment/>
    </xf>
    <xf numFmtId="0" fontId="5" fillId="34" borderId="64" xfId="0" applyFont="1" applyFill="1" applyBorder="1" applyAlignment="1">
      <alignment horizontal="center" vertical="center"/>
    </xf>
    <xf numFmtId="0" fontId="0" fillId="34" borderId="64" xfId="0" applyFill="1" applyBorder="1" applyAlignment="1">
      <alignment/>
    </xf>
    <xf numFmtId="0" fontId="0" fillId="34" borderId="65" xfId="0" applyFill="1" applyBorder="1" applyAlignment="1">
      <alignment/>
    </xf>
    <xf numFmtId="0" fontId="0" fillId="38" borderId="66" xfId="0" applyFill="1" applyBorder="1" applyAlignment="1">
      <alignment/>
    </xf>
    <xf numFmtId="0" fontId="0" fillId="34" borderId="64" xfId="0" applyFont="1" applyFill="1" applyBorder="1" applyAlignment="1">
      <alignment/>
    </xf>
    <xf numFmtId="0" fontId="92" fillId="34" borderId="0" xfId="0" applyFont="1" applyFill="1" applyBorder="1" applyAlignment="1">
      <alignment horizontal="right"/>
    </xf>
    <xf numFmtId="0" fontId="92" fillId="34" borderId="0" xfId="0" applyFont="1" applyFill="1" applyBorder="1" applyAlignment="1">
      <alignment/>
    </xf>
    <xf numFmtId="0" fontId="0" fillId="41" borderId="0" xfId="0" applyFill="1" applyBorder="1" applyAlignment="1">
      <alignment/>
    </xf>
    <xf numFmtId="0" fontId="87" fillId="38" borderId="25" xfId="0" applyFont="1" applyFill="1" applyBorder="1" applyAlignment="1">
      <alignment horizontal="right"/>
    </xf>
    <xf numFmtId="0" fontId="0" fillId="41" borderId="23" xfId="0" applyFill="1" applyBorder="1" applyAlignment="1">
      <alignment vertical="top"/>
    </xf>
    <xf numFmtId="0" fontId="0" fillId="41" borderId="27" xfId="0" applyFill="1" applyBorder="1" applyAlignment="1">
      <alignment vertical="top"/>
    </xf>
    <xf numFmtId="0" fontId="87" fillId="41" borderId="23" xfId="0" applyFont="1" applyFill="1" applyBorder="1" applyAlignment="1">
      <alignment horizontal="right"/>
    </xf>
    <xf numFmtId="1" fontId="1" fillId="41" borderId="0" xfId="0" applyNumberFormat="1" applyFont="1" applyFill="1" applyBorder="1" applyAlignment="1">
      <alignment horizontal="center"/>
    </xf>
    <xf numFmtId="0" fontId="0" fillId="42" borderId="0" xfId="0" applyFill="1" applyAlignment="1">
      <alignment/>
    </xf>
    <xf numFmtId="2" fontId="0" fillId="36" borderId="30" xfId="0" applyNumberFormat="1" applyFont="1" applyFill="1" applyBorder="1" applyAlignment="1">
      <alignment horizontal="center" vertical="center"/>
    </xf>
    <xf numFmtId="0" fontId="2" fillId="36" borderId="30" xfId="0" applyFont="1" applyFill="1" applyBorder="1" applyAlignment="1">
      <alignment horizontal="center" vertical="center"/>
    </xf>
    <xf numFmtId="165" fontId="0" fillId="36" borderId="27" xfId="0" applyNumberFormat="1" applyFill="1" applyBorder="1" applyAlignment="1">
      <alignment horizontal="left" vertical="center"/>
    </xf>
    <xf numFmtId="165" fontId="0" fillId="36" borderId="11" xfId="0" applyNumberFormat="1" applyFill="1" applyBorder="1" applyAlignment="1">
      <alignment horizontal="center" vertical="center"/>
    </xf>
    <xf numFmtId="165" fontId="1" fillId="37" borderId="27" xfId="0" applyNumberFormat="1" applyFont="1" applyFill="1" applyBorder="1" applyAlignment="1">
      <alignment horizontal="center" vertical="center"/>
    </xf>
    <xf numFmtId="203" fontId="1" fillId="37" borderId="27" xfId="42" applyNumberFormat="1" applyFont="1" applyFill="1" applyBorder="1" applyAlignment="1">
      <alignment horizontal="center" vertical="center"/>
    </xf>
    <xf numFmtId="0" fontId="1" fillId="37" borderId="27" xfId="0" applyFont="1" applyFill="1" applyBorder="1" applyAlignment="1">
      <alignment horizontal="center" vertical="center"/>
    </xf>
    <xf numFmtId="0" fontId="2" fillId="37" borderId="27" xfId="0" applyFont="1" applyFill="1" applyBorder="1" applyAlignment="1">
      <alignment horizontal="center" vertical="center"/>
    </xf>
    <xf numFmtId="0" fontId="2" fillId="37" borderId="24" xfId="0" applyFont="1" applyFill="1" applyBorder="1" applyAlignment="1">
      <alignment horizontal="center" vertical="center"/>
    </xf>
    <xf numFmtId="0" fontId="2" fillId="36" borderId="0" xfId="0" applyFont="1" applyFill="1" applyBorder="1" applyAlignment="1">
      <alignment horizontal="center" vertical="center"/>
    </xf>
    <xf numFmtId="203" fontId="0" fillId="0" borderId="10" xfId="42" applyNumberFormat="1" applyFont="1" applyBorder="1" applyAlignment="1">
      <alignment horizontal="center" vertical="center"/>
    </xf>
    <xf numFmtId="165" fontId="0" fillId="0" borderId="10" xfId="0" applyNumberFormat="1" applyFont="1" applyBorder="1" applyAlignment="1">
      <alignment horizontal="center" vertical="center"/>
    </xf>
    <xf numFmtId="0" fontId="3" fillId="36" borderId="41" xfId="0" applyFont="1" applyFill="1" applyBorder="1" applyAlignment="1">
      <alignment horizontal="left" vertical="center"/>
    </xf>
    <xf numFmtId="2" fontId="0" fillId="36" borderId="0" xfId="0" applyNumberFormat="1" applyFont="1" applyFill="1" applyBorder="1" applyAlignment="1">
      <alignment horizontal="center" vertical="center"/>
    </xf>
    <xf numFmtId="165" fontId="0" fillId="36" borderId="0" xfId="0" applyNumberFormat="1" applyFont="1" applyFill="1" applyBorder="1" applyAlignment="1">
      <alignment horizontal="center" vertical="center"/>
    </xf>
    <xf numFmtId="0" fontId="5" fillId="38" borderId="44" xfId="0" applyFont="1" applyFill="1" applyBorder="1" applyAlignment="1">
      <alignment horizontal="left" vertical="center"/>
    </xf>
    <xf numFmtId="0" fontId="5" fillId="38" borderId="27" xfId="0" applyFont="1" applyFill="1" applyBorder="1" applyAlignment="1">
      <alignment horizontal="left" vertical="center"/>
    </xf>
    <xf numFmtId="165" fontId="0" fillId="36" borderId="27" xfId="0" applyNumberFormat="1" applyFill="1" applyBorder="1" applyAlignment="1">
      <alignment horizontal="center" vertical="center"/>
    </xf>
    <xf numFmtId="0" fontId="30" fillId="34" borderId="14" xfId="69" applyFont="1" applyFill="1" applyBorder="1">
      <alignment/>
      <protection/>
    </xf>
    <xf numFmtId="0" fontId="30" fillId="34" borderId="15" xfId="69" applyFont="1" applyFill="1" applyBorder="1">
      <alignment/>
      <protection/>
    </xf>
    <xf numFmtId="0" fontId="30" fillId="34" borderId="16" xfId="69" applyFont="1" applyFill="1" applyBorder="1">
      <alignment/>
      <protection/>
    </xf>
    <xf numFmtId="0" fontId="30" fillId="34" borderId="20" xfId="69" applyFont="1" applyFill="1" applyBorder="1">
      <alignment/>
      <protection/>
    </xf>
    <xf numFmtId="0" fontId="30" fillId="34" borderId="17" xfId="69" applyFont="1" applyFill="1" applyBorder="1">
      <alignment/>
      <protection/>
    </xf>
    <xf numFmtId="0" fontId="30" fillId="34" borderId="0" xfId="69" applyFont="1" applyFill="1" applyBorder="1" applyAlignment="1">
      <alignment horizontal="center"/>
      <protection/>
    </xf>
    <xf numFmtId="0" fontId="30" fillId="34" borderId="0" xfId="69" applyFont="1" applyFill="1" applyBorder="1">
      <alignment/>
      <protection/>
    </xf>
    <xf numFmtId="0" fontId="30" fillId="34" borderId="17" xfId="69" applyFont="1" applyFill="1" applyBorder="1" applyAlignment="1">
      <alignment/>
      <protection/>
    </xf>
    <xf numFmtId="0" fontId="30" fillId="0" borderId="23" xfId="69" applyFont="1" applyBorder="1" applyAlignment="1">
      <alignment horizontal="center"/>
      <protection/>
    </xf>
    <xf numFmtId="0" fontId="30" fillId="0" borderId="10" xfId="69" applyFont="1" applyBorder="1" applyAlignment="1">
      <alignment horizontal="center"/>
      <protection/>
    </xf>
    <xf numFmtId="0" fontId="30" fillId="0" borderId="29" xfId="69" applyFont="1" applyBorder="1" applyAlignment="1">
      <alignment horizontal="center"/>
      <protection/>
    </xf>
    <xf numFmtId="0" fontId="30" fillId="34" borderId="20" xfId="69" applyFont="1" applyFill="1" applyBorder="1" applyAlignment="1">
      <alignment vertical="center"/>
      <protection/>
    </xf>
    <xf numFmtId="0" fontId="35" fillId="0" borderId="31" xfId="69" applyFont="1" applyBorder="1" applyAlignment="1">
      <alignment horizontal="right" vertical="center"/>
      <protection/>
    </xf>
    <xf numFmtId="212" fontId="0" fillId="0" borderId="31" xfId="0" applyNumberFormat="1" applyFill="1" applyBorder="1" applyAlignment="1">
      <alignment horizontal="center"/>
    </xf>
    <xf numFmtId="212" fontId="0" fillId="0" borderId="11" xfId="0" applyNumberFormat="1" applyFill="1" applyBorder="1" applyAlignment="1">
      <alignment horizontal="center"/>
    </xf>
    <xf numFmtId="212" fontId="0" fillId="0" borderId="28" xfId="0" applyNumberFormat="1" applyFill="1" applyBorder="1" applyAlignment="1">
      <alignment horizontal="center"/>
    </xf>
    <xf numFmtId="172" fontId="30" fillId="34" borderId="17" xfId="69" applyNumberFormat="1" applyFont="1" applyFill="1" applyBorder="1" applyAlignment="1">
      <alignment vertical="center"/>
      <protection/>
    </xf>
    <xf numFmtId="0" fontId="0" fillId="0" borderId="0" xfId="0" applyAlignment="1">
      <alignment vertical="center"/>
    </xf>
    <xf numFmtId="212" fontId="0" fillId="0" borderId="32" xfId="0" applyNumberFormat="1" applyFill="1" applyBorder="1" applyAlignment="1">
      <alignment horizontal="center"/>
    </xf>
    <xf numFmtId="212" fontId="0" fillId="0" borderId="10" xfId="0" applyNumberFormat="1" applyFill="1" applyBorder="1" applyAlignment="1">
      <alignment horizontal="center"/>
    </xf>
    <xf numFmtId="212" fontId="0" fillId="0" borderId="29" xfId="0" applyNumberFormat="1" applyFill="1" applyBorder="1" applyAlignment="1">
      <alignment horizontal="center"/>
    </xf>
    <xf numFmtId="0" fontId="36" fillId="34" borderId="20" xfId="69" applyFont="1" applyFill="1" applyBorder="1" applyAlignment="1">
      <alignment vertical="center"/>
      <protection/>
    </xf>
    <xf numFmtId="0" fontId="35" fillId="0" borderId="13" xfId="69" applyFont="1" applyFill="1" applyBorder="1" applyAlignment="1">
      <alignment horizontal="right" vertical="center"/>
      <protection/>
    </xf>
    <xf numFmtId="10" fontId="37" fillId="0" borderId="25" xfId="74" applyNumberFormat="1" applyFont="1" applyBorder="1" applyAlignment="1">
      <alignment horizontal="center" vertical="center"/>
    </xf>
    <xf numFmtId="10" fontId="37" fillId="0" borderId="0" xfId="74" applyNumberFormat="1" applyFont="1" applyBorder="1" applyAlignment="1">
      <alignment horizontal="center" vertical="center"/>
    </xf>
    <xf numFmtId="10" fontId="37" fillId="0" borderId="30" xfId="74" applyNumberFormat="1" applyFont="1" applyBorder="1" applyAlignment="1">
      <alignment horizontal="center" vertical="center"/>
    </xf>
    <xf numFmtId="0" fontId="36" fillId="34" borderId="17" xfId="69" applyFont="1" applyFill="1" applyBorder="1" applyAlignment="1">
      <alignment vertical="center"/>
      <protection/>
    </xf>
    <xf numFmtId="0" fontId="35" fillId="0" borderId="21" xfId="69" applyFont="1" applyFill="1" applyBorder="1" applyAlignment="1">
      <alignment horizontal="right" vertical="center"/>
      <protection/>
    </xf>
    <xf numFmtId="0" fontId="30" fillId="34" borderId="22" xfId="69" applyFont="1" applyFill="1" applyBorder="1">
      <alignment/>
      <protection/>
    </xf>
    <xf numFmtId="0" fontId="30" fillId="34" borderId="19" xfId="69" applyFont="1" applyFill="1" applyBorder="1">
      <alignment/>
      <protection/>
    </xf>
    <xf numFmtId="0" fontId="30" fillId="34" borderId="18" xfId="69" applyFont="1" applyFill="1" applyBorder="1">
      <alignment/>
      <protection/>
    </xf>
    <xf numFmtId="182" fontId="30" fillId="0" borderId="31" xfId="69" applyNumberFormat="1" applyFont="1" applyBorder="1" applyAlignment="1">
      <alignment horizontal="center" vertical="center"/>
      <protection/>
    </xf>
    <xf numFmtId="182" fontId="30" fillId="0" borderId="11" xfId="69" applyNumberFormat="1" applyFont="1" applyBorder="1" applyAlignment="1">
      <alignment horizontal="center" vertical="center"/>
      <protection/>
    </xf>
    <xf numFmtId="182" fontId="30" fillId="0" borderId="28" xfId="69" applyNumberFormat="1" applyFont="1" applyBorder="1" applyAlignment="1">
      <alignment horizontal="center" vertical="center"/>
      <protection/>
    </xf>
    <xf numFmtId="0" fontId="35" fillId="0" borderId="32" xfId="69" applyFont="1" applyBorder="1" applyAlignment="1">
      <alignment horizontal="right" vertical="center"/>
      <protection/>
    </xf>
    <xf numFmtId="182" fontId="30" fillId="0" borderId="32" xfId="69" applyNumberFormat="1" applyFont="1" applyBorder="1" applyAlignment="1">
      <alignment horizontal="center" vertical="center"/>
      <protection/>
    </xf>
    <xf numFmtId="182" fontId="30" fillId="0" borderId="10" xfId="69" applyNumberFormat="1" applyFont="1" applyBorder="1" applyAlignment="1">
      <alignment horizontal="center" vertical="center"/>
      <protection/>
    </xf>
    <xf numFmtId="182" fontId="30" fillId="0" borderId="29" xfId="69" applyNumberFormat="1" applyFont="1" applyBorder="1" applyAlignment="1">
      <alignment horizontal="center" vertical="center"/>
      <protection/>
    </xf>
    <xf numFmtId="0" fontId="33" fillId="36" borderId="29" xfId="69" applyFont="1" applyFill="1" applyBorder="1" applyAlignment="1">
      <alignment horizontal="center"/>
      <protection/>
    </xf>
    <xf numFmtId="213" fontId="0" fillId="0" borderId="31" xfId="0" applyNumberFormat="1" applyFill="1" applyBorder="1" applyAlignment="1">
      <alignment horizontal="center"/>
    </xf>
    <xf numFmtId="213" fontId="0" fillId="0" borderId="11" xfId="0" applyNumberFormat="1" applyFill="1" applyBorder="1" applyAlignment="1">
      <alignment horizontal="center"/>
    </xf>
    <xf numFmtId="171" fontId="30" fillId="0" borderId="11" xfId="69" applyNumberFormat="1" applyFont="1" applyBorder="1" applyAlignment="1" quotePrefix="1">
      <alignment horizontal="center" vertical="center"/>
      <protection/>
    </xf>
    <xf numFmtId="186" fontId="0" fillId="0" borderId="28" xfId="0" applyNumberFormat="1" applyFill="1" applyBorder="1" applyAlignment="1">
      <alignment horizontal="center"/>
    </xf>
    <xf numFmtId="213" fontId="0" fillId="0" borderId="32" xfId="0" applyNumberFormat="1" applyFill="1" applyBorder="1" applyAlignment="1">
      <alignment horizontal="center"/>
    </xf>
    <xf numFmtId="213" fontId="0" fillId="0" borderId="10" xfId="0" applyNumberFormat="1" applyFill="1" applyBorder="1" applyAlignment="1">
      <alignment horizontal="center"/>
    </xf>
    <xf numFmtId="171" fontId="30" fillId="0" borderId="10" xfId="69" applyNumberFormat="1" applyFont="1" applyBorder="1" applyAlignment="1" quotePrefix="1">
      <alignment horizontal="center" vertical="center"/>
      <protection/>
    </xf>
    <xf numFmtId="186" fontId="0" fillId="0" borderId="29" xfId="0" applyNumberFormat="1" applyFill="1" applyBorder="1" applyAlignment="1">
      <alignment horizontal="center"/>
    </xf>
    <xf numFmtId="0" fontId="30" fillId="36" borderId="17" xfId="69" applyFont="1" applyFill="1" applyBorder="1">
      <alignment/>
      <protection/>
    </xf>
    <xf numFmtId="0" fontId="30" fillId="36" borderId="19" xfId="69" applyFont="1" applyFill="1" applyBorder="1">
      <alignment/>
      <protection/>
    </xf>
    <xf numFmtId="0" fontId="0" fillId="36" borderId="18" xfId="0" applyFill="1" applyBorder="1" applyAlignment="1">
      <alignment/>
    </xf>
    <xf numFmtId="0" fontId="0" fillId="36" borderId="22" xfId="0" applyFill="1" applyBorder="1" applyAlignment="1">
      <alignment/>
    </xf>
    <xf numFmtId="11" fontId="0" fillId="36" borderId="19" xfId="0" applyNumberFormat="1" applyFont="1" applyFill="1" applyBorder="1" applyAlignment="1">
      <alignment horizontal="center"/>
    </xf>
    <xf numFmtId="2" fontId="0" fillId="36" borderId="19" xfId="0" applyNumberFormat="1" applyFont="1" applyFill="1" applyBorder="1" applyAlignment="1">
      <alignment horizontal="center"/>
    </xf>
    <xf numFmtId="0" fontId="35" fillId="0" borderId="0" xfId="69" applyFont="1" applyFill="1" applyBorder="1" applyAlignment="1">
      <alignment horizontal="left"/>
      <protection/>
    </xf>
    <xf numFmtId="11" fontId="0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0" fontId="26" fillId="39" borderId="0" xfId="0" applyFont="1" applyFill="1" applyAlignment="1">
      <alignment/>
    </xf>
    <xf numFmtId="0" fontId="30" fillId="0" borderId="0" xfId="69" applyFont="1" applyFill="1" applyBorder="1">
      <alignment/>
      <protection/>
    </xf>
    <xf numFmtId="0" fontId="36" fillId="34" borderId="20" xfId="69" applyFont="1" applyFill="1" applyBorder="1">
      <alignment/>
      <protection/>
    </xf>
    <xf numFmtId="0" fontId="33" fillId="36" borderId="30" xfId="69" applyFont="1" applyFill="1" applyBorder="1" applyAlignment="1">
      <alignment horizontal="center"/>
      <protection/>
    </xf>
    <xf numFmtId="0" fontId="38" fillId="36" borderId="10" xfId="69" applyFont="1" applyFill="1" applyBorder="1" applyAlignment="1">
      <alignment horizontal="center" vertical="center"/>
      <protection/>
    </xf>
    <xf numFmtId="14" fontId="0" fillId="0" borderId="0" xfId="0" applyNumberFormat="1" applyAlignment="1">
      <alignment vertical="center"/>
    </xf>
    <xf numFmtId="217" fontId="0" fillId="0" borderId="31" xfId="0" applyNumberFormat="1" applyFill="1" applyBorder="1" applyAlignment="1">
      <alignment horizontal="center"/>
    </xf>
    <xf numFmtId="217" fontId="0" fillId="0" borderId="11" xfId="0" applyNumberFormat="1" applyFill="1" applyBorder="1" applyAlignment="1">
      <alignment horizontal="center"/>
    </xf>
    <xf numFmtId="217" fontId="0" fillId="0" borderId="28" xfId="0" applyNumberFormat="1" applyFill="1" applyBorder="1" applyAlignment="1">
      <alignment horizontal="center"/>
    </xf>
    <xf numFmtId="217" fontId="0" fillId="0" borderId="32" xfId="0" applyNumberFormat="1" applyFill="1" applyBorder="1" applyAlignment="1">
      <alignment horizontal="center"/>
    </xf>
    <xf numFmtId="217" fontId="0" fillId="0" borderId="10" xfId="0" applyNumberFormat="1" applyFill="1" applyBorder="1" applyAlignment="1">
      <alignment horizontal="center"/>
    </xf>
    <xf numFmtId="217" fontId="0" fillId="0" borderId="29" xfId="0" applyNumberFormat="1" applyFill="1" applyBorder="1" applyAlignment="1">
      <alignment horizontal="center"/>
    </xf>
    <xf numFmtId="0" fontId="35" fillId="36" borderId="11" xfId="69" applyFont="1" applyFill="1" applyBorder="1" applyAlignment="1">
      <alignment horizontal="left"/>
      <protection/>
    </xf>
    <xf numFmtId="11" fontId="0" fillId="36" borderId="11" xfId="0" applyNumberFormat="1" applyFont="1" applyFill="1" applyBorder="1" applyAlignment="1">
      <alignment horizontal="center"/>
    </xf>
    <xf numFmtId="2" fontId="0" fillId="36" borderId="11" xfId="0" applyNumberFormat="1" applyFont="1" applyFill="1" applyBorder="1" applyAlignment="1">
      <alignment horizontal="center"/>
    </xf>
    <xf numFmtId="0" fontId="0" fillId="0" borderId="15" xfId="0" applyFill="1" applyBorder="1" applyAlignment="1">
      <alignment/>
    </xf>
    <xf numFmtId="2" fontId="0" fillId="0" borderId="12" xfId="0" applyNumberFormat="1" applyFont="1" applyBorder="1" applyAlignment="1">
      <alignment horizontal="center" vertical="center"/>
    </xf>
    <xf numFmtId="0" fontId="3" fillId="38" borderId="0" xfId="0" applyFont="1" applyFill="1" applyBorder="1" applyAlignment="1" quotePrefix="1">
      <alignment horizontal="left" vertical="center"/>
    </xf>
    <xf numFmtId="2" fontId="0" fillId="0" borderId="0" xfId="0" applyNumberFormat="1" applyBorder="1" applyAlignment="1">
      <alignment/>
    </xf>
    <xf numFmtId="165" fontId="0" fillId="0" borderId="0" xfId="0" applyNumberFormat="1" applyBorder="1" applyAlignment="1">
      <alignment/>
    </xf>
    <xf numFmtId="164" fontId="0" fillId="0" borderId="0" xfId="73" applyNumberFormat="1" applyFont="1" applyBorder="1" applyAlignment="1">
      <alignment horizontal="center"/>
    </xf>
    <xf numFmtId="164" fontId="37" fillId="0" borderId="32" xfId="74" applyNumberFormat="1" applyFont="1" applyBorder="1" applyAlignment="1">
      <alignment horizontal="center" vertical="center"/>
    </xf>
    <xf numFmtId="164" fontId="37" fillId="0" borderId="10" xfId="74" applyNumberFormat="1" applyFont="1" applyBorder="1" applyAlignment="1">
      <alignment horizontal="center" vertical="center"/>
    </xf>
    <xf numFmtId="164" fontId="37" fillId="0" borderId="29" xfId="74" applyNumberFormat="1" applyFont="1" applyBorder="1" applyAlignment="1">
      <alignment horizontal="center" vertical="center"/>
    </xf>
    <xf numFmtId="0" fontId="1" fillId="38" borderId="0" xfId="0" applyFont="1" applyFill="1" applyBorder="1" applyAlignment="1">
      <alignment horizontal="left" vertical="center"/>
    </xf>
    <xf numFmtId="2" fontId="0" fillId="0" borderId="26" xfId="0" applyNumberFormat="1" applyBorder="1" applyAlignment="1">
      <alignment horizontal="center"/>
    </xf>
    <xf numFmtId="165" fontId="0" fillId="0" borderId="26" xfId="0" applyNumberFormat="1" applyBorder="1" applyAlignment="1">
      <alignment horizontal="center"/>
    </xf>
    <xf numFmtId="164" fontId="0" fillId="0" borderId="26" xfId="73" applyNumberFormat="1" applyFont="1" applyBorder="1" applyAlignment="1">
      <alignment horizontal="center"/>
    </xf>
    <xf numFmtId="2" fontId="0" fillId="0" borderId="13" xfId="0" applyNumberFormat="1" applyFont="1" applyBorder="1" applyAlignment="1">
      <alignment horizontal="center" vertical="center"/>
    </xf>
    <xf numFmtId="0" fontId="0" fillId="38" borderId="53" xfId="0" applyFill="1" applyBorder="1" applyAlignment="1">
      <alignment/>
    </xf>
    <xf numFmtId="2" fontId="30" fillId="0" borderId="13" xfId="0" applyNumberFormat="1" applyFont="1" applyBorder="1" applyAlignment="1">
      <alignment horizontal="center" vertical="center"/>
    </xf>
    <xf numFmtId="165" fontId="30" fillId="0" borderId="13" xfId="0" applyNumberFormat="1" applyFont="1" applyBorder="1" applyAlignment="1">
      <alignment horizontal="center" vertical="center"/>
    </xf>
    <xf numFmtId="2" fontId="30" fillId="38" borderId="13" xfId="0" applyNumberFormat="1" applyFont="1" applyFill="1" applyBorder="1" applyAlignment="1">
      <alignment horizontal="center" vertical="center"/>
    </xf>
    <xf numFmtId="2" fontId="30" fillId="38" borderId="13" xfId="0" applyNumberFormat="1" applyFont="1" applyFill="1" applyBorder="1" applyAlignment="1" quotePrefix="1">
      <alignment horizontal="center" vertical="center"/>
    </xf>
    <xf numFmtId="165" fontId="30" fillId="0" borderId="26" xfId="0" applyNumberFormat="1" applyFont="1" applyBorder="1" applyAlignment="1">
      <alignment horizontal="center" vertical="center"/>
    </xf>
    <xf numFmtId="165" fontId="30" fillId="36" borderId="0" xfId="0" applyNumberFormat="1" applyFont="1" applyFill="1" applyBorder="1" applyAlignment="1">
      <alignment horizontal="center" vertical="center"/>
    </xf>
    <xf numFmtId="165" fontId="30" fillId="37" borderId="27" xfId="0" applyNumberFormat="1" applyFont="1" applyFill="1" applyBorder="1" applyAlignment="1">
      <alignment horizontal="center" vertical="center"/>
    </xf>
    <xf numFmtId="203" fontId="30" fillId="37" borderId="27" xfId="42" applyNumberFormat="1" applyFont="1" applyFill="1" applyBorder="1" applyAlignment="1">
      <alignment vertical="center"/>
    </xf>
    <xf numFmtId="0" fontId="30" fillId="37" borderId="27" xfId="0" applyFont="1" applyFill="1" applyBorder="1" applyAlignment="1">
      <alignment horizontal="center" vertical="center"/>
    </xf>
    <xf numFmtId="0" fontId="17" fillId="37" borderId="27" xfId="0" applyFont="1" applyFill="1" applyBorder="1" applyAlignment="1">
      <alignment horizontal="center" vertical="center"/>
    </xf>
    <xf numFmtId="0" fontId="17" fillId="37" borderId="24" xfId="0" applyFont="1" applyFill="1" applyBorder="1" applyAlignment="1">
      <alignment horizontal="center" vertical="center"/>
    </xf>
    <xf numFmtId="165" fontId="30" fillId="0" borderId="12" xfId="0" applyNumberFormat="1" applyFont="1" applyBorder="1" applyAlignment="1">
      <alignment horizontal="center" vertical="center"/>
    </xf>
    <xf numFmtId="2" fontId="30" fillId="0" borderId="12" xfId="0" applyNumberFormat="1" applyFont="1" applyBorder="1" applyAlignment="1">
      <alignment horizontal="center" vertical="center"/>
    </xf>
    <xf numFmtId="165" fontId="30" fillId="0" borderId="13" xfId="0" applyNumberFormat="1" applyFont="1" applyBorder="1" applyAlignment="1" quotePrefix="1">
      <alignment horizontal="center" vertical="center"/>
    </xf>
    <xf numFmtId="2" fontId="30" fillId="0" borderId="13" xfId="0" applyNumberFormat="1" applyFont="1" applyBorder="1" applyAlignment="1" quotePrefix="1">
      <alignment horizontal="center" vertical="center"/>
    </xf>
    <xf numFmtId="0" fontId="3" fillId="38" borderId="24" xfId="0" applyFont="1" applyFill="1" applyBorder="1" applyAlignment="1">
      <alignment horizontal="left" vertical="center"/>
    </xf>
    <xf numFmtId="0" fontId="3" fillId="0" borderId="41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3" fillId="0" borderId="30" xfId="0" applyFont="1" applyBorder="1" applyAlignment="1">
      <alignment horizontal="right" vertical="center"/>
    </xf>
    <xf numFmtId="0" fontId="84" fillId="0" borderId="0" xfId="0" applyFont="1" applyBorder="1" applyAlignment="1">
      <alignment/>
    </xf>
    <xf numFmtId="0" fontId="30" fillId="0" borderId="40" xfId="69" applyFont="1" applyBorder="1" applyAlignment="1">
      <alignment horizontal="center"/>
      <protection/>
    </xf>
    <xf numFmtId="0" fontId="30" fillId="0" borderId="67" xfId="69" applyFont="1" applyBorder="1" applyAlignment="1">
      <alignment horizontal="center"/>
      <protection/>
    </xf>
    <xf numFmtId="0" fontId="94" fillId="0" borderId="0" xfId="0" applyFont="1" applyBorder="1" applyAlignment="1">
      <alignment horizontal="center"/>
    </xf>
    <xf numFmtId="0" fontId="94" fillId="0" borderId="68" xfId="0" applyFont="1" applyBorder="1" applyAlignment="1">
      <alignment horizontal="center"/>
    </xf>
    <xf numFmtId="2" fontId="0" fillId="0" borderId="69" xfId="0" applyNumberFormat="1" applyBorder="1" applyAlignment="1">
      <alignment horizontal="center"/>
    </xf>
    <xf numFmtId="0" fontId="3" fillId="38" borderId="41" xfId="0" applyFont="1" applyFill="1" applyBorder="1" applyAlignment="1" quotePrefix="1">
      <alignment horizontal="left" vertical="center"/>
    </xf>
    <xf numFmtId="164" fontId="0" fillId="0" borderId="69" xfId="73" applyNumberFormat="1" applyFont="1" applyBorder="1" applyAlignment="1">
      <alignment horizontal="center"/>
    </xf>
    <xf numFmtId="0" fontId="3" fillId="38" borderId="70" xfId="0" applyFont="1" applyFill="1" applyBorder="1" applyAlignment="1" quotePrefix="1">
      <alignment horizontal="left" vertical="center"/>
    </xf>
    <xf numFmtId="0" fontId="3" fillId="38" borderId="56" xfId="0" applyFont="1" applyFill="1" applyBorder="1" applyAlignment="1" quotePrefix="1">
      <alignment horizontal="left" vertical="center"/>
    </xf>
    <xf numFmtId="0" fontId="3" fillId="38" borderId="56" xfId="0" applyFont="1" applyFill="1" applyBorder="1" applyAlignment="1">
      <alignment horizontal="left" vertical="center"/>
    </xf>
    <xf numFmtId="2" fontId="0" fillId="0" borderId="42" xfId="73" applyNumberFormat="1" applyFont="1" applyBorder="1" applyAlignment="1">
      <alignment horizontal="center"/>
    </xf>
    <xf numFmtId="165" fontId="0" fillId="0" borderId="42" xfId="73" applyNumberFormat="1" applyFont="1" applyBorder="1" applyAlignment="1">
      <alignment horizontal="center"/>
    </xf>
    <xf numFmtId="2" fontId="0" fillId="0" borderId="71" xfId="73" applyNumberFormat="1" applyFont="1" applyBorder="1" applyAlignment="1">
      <alignment horizontal="center"/>
    </xf>
    <xf numFmtId="0" fontId="35" fillId="0" borderId="26" xfId="69" applyFont="1" applyFill="1" applyBorder="1" applyAlignment="1">
      <alignment horizontal="right" vertical="center"/>
      <protection/>
    </xf>
    <xf numFmtId="10" fontId="37" fillId="0" borderId="23" xfId="74" applyNumberFormat="1" applyFont="1" applyBorder="1" applyAlignment="1">
      <alignment horizontal="center" vertical="center"/>
    </xf>
    <xf numFmtId="10" fontId="37" fillId="0" borderId="27" xfId="74" applyNumberFormat="1" applyFont="1" applyBorder="1" applyAlignment="1">
      <alignment horizontal="center" vertical="center"/>
    </xf>
    <xf numFmtId="10" fontId="37" fillId="0" borderId="24" xfId="74" applyNumberFormat="1" applyFont="1" applyBorder="1" applyAlignment="1">
      <alignment horizontal="center" vertical="center"/>
    </xf>
    <xf numFmtId="10" fontId="37" fillId="0" borderId="27" xfId="74" applyNumberFormat="1" applyFont="1" applyBorder="1" applyAlignment="1" quotePrefix="1">
      <alignment horizontal="center" vertical="center"/>
    </xf>
    <xf numFmtId="10" fontId="37" fillId="0" borderId="24" xfId="74" applyNumberFormat="1" applyFont="1" applyBorder="1" applyAlignment="1" quotePrefix="1">
      <alignment horizontal="center" vertical="center"/>
    </xf>
    <xf numFmtId="0" fontId="36" fillId="36" borderId="20" xfId="69" applyFont="1" applyFill="1" applyBorder="1" applyAlignment="1">
      <alignment vertical="center"/>
      <protection/>
    </xf>
    <xf numFmtId="0" fontId="35" fillId="36" borderId="0" xfId="69" applyFont="1" applyFill="1" applyBorder="1" applyAlignment="1">
      <alignment horizontal="right" vertical="center"/>
      <protection/>
    </xf>
    <xf numFmtId="10" fontId="37" fillId="36" borderId="0" xfId="74" applyNumberFormat="1" applyFont="1" applyFill="1" applyBorder="1" applyAlignment="1">
      <alignment horizontal="center" vertical="center"/>
    </xf>
    <xf numFmtId="10" fontId="37" fillId="36" borderId="0" xfId="74" applyNumberFormat="1" applyFont="1" applyFill="1" applyBorder="1" applyAlignment="1" quotePrefix="1">
      <alignment horizontal="center" vertical="center"/>
    </xf>
    <xf numFmtId="0" fontId="36" fillId="36" borderId="17" xfId="69" applyFont="1" applyFill="1" applyBorder="1" applyAlignment="1">
      <alignment vertical="center"/>
      <protection/>
    </xf>
    <xf numFmtId="0" fontId="35" fillId="36" borderId="0" xfId="69" applyFont="1" applyFill="1" applyBorder="1" applyAlignment="1">
      <alignment horizontal="left" vertical="center"/>
      <protection/>
    </xf>
    <xf numFmtId="0" fontId="3" fillId="0" borderId="72" xfId="0" applyFont="1" applyBorder="1" applyAlignment="1">
      <alignment horizontal="left" vertical="center"/>
    </xf>
    <xf numFmtId="0" fontId="3" fillId="0" borderId="73" xfId="0" applyFont="1" applyBorder="1" applyAlignment="1">
      <alignment horizontal="left" vertical="center"/>
    </xf>
    <xf numFmtId="0" fontId="3" fillId="0" borderId="59" xfId="0" applyFont="1" applyBorder="1" applyAlignment="1">
      <alignment horizontal="left" vertical="center"/>
    </xf>
    <xf numFmtId="0" fontId="7" fillId="0" borderId="51" xfId="0" applyFont="1" applyBorder="1" applyAlignment="1">
      <alignment horizontal="left" vertical="center"/>
    </xf>
    <xf numFmtId="0" fontId="7" fillId="0" borderId="47" xfId="0" applyFont="1" applyBorder="1" applyAlignment="1">
      <alignment horizontal="left" vertical="center"/>
    </xf>
    <xf numFmtId="0" fontId="7" fillId="0" borderId="38" xfId="0" applyFont="1" applyBorder="1" applyAlignment="1">
      <alignment horizontal="left" vertical="center"/>
    </xf>
    <xf numFmtId="0" fontId="3" fillId="0" borderId="41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3" fillId="0" borderId="30" xfId="0" applyFont="1" applyBorder="1" applyAlignment="1">
      <alignment horizontal="right" vertical="center"/>
    </xf>
    <xf numFmtId="0" fontId="3" fillId="0" borderId="44" xfId="0" applyFont="1" applyBorder="1" applyAlignment="1">
      <alignment horizontal="left" vertical="center"/>
    </xf>
    <xf numFmtId="0" fontId="3" fillId="0" borderId="27" xfId="0" applyFont="1" applyBorder="1" applyAlignment="1">
      <alignment horizontal="left" vertical="center"/>
    </xf>
    <xf numFmtId="0" fontId="3" fillId="0" borderId="24" xfId="0" applyFont="1" applyBorder="1" applyAlignment="1">
      <alignment horizontal="left" vertical="center"/>
    </xf>
    <xf numFmtId="0" fontId="3" fillId="38" borderId="44" xfId="0" applyFont="1" applyFill="1" applyBorder="1" applyAlignment="1" quotePrefix="1">
      <alignment horizontal="left" vertical="center"/>
    </xf>
    <xf numFmtId="0" fontId="3" fillId="38" borderId="27" xfId="0" applyFont="1" applyFill="1" applyBorder="1" applyAlignment="1" quotePrefix="1">
      <alignment horizontal="left" vertical="center"/>
    </xf>
    <xf numFmtId="0" fontId="3" fillId="38" borderId="24" xfId="0" applyFont="1" applyFill="1" applyBorder="1" applyAlignment="1">
      <alignment horizontal="left" vertical="center"/>
    </xf>
    <xf numFmtId="0" fontId="3" fillId="0" borderId="74" xfId="0" applyFont="1" applyBorder="1" applyAlignment="1">
      <alignment horizontal="right" vertical="center"/>
    </xf>
    <xf numFmtId="0" fontId="3" fillId="0" borderId="11" xfId="0" applyFont="1" applyBorder="1" applyAlignment="1">
      <alignment horizontal="right" vertical="center"/>
    </xf>
    <xf numFmtId="0" fontId="3" fillId="0" borderId="28" xfId="0" applyFont="1" applyBorder="1" applyAlignment="1">
      <alignment horizontal="right" vertical="center"/>
    </xf>
    <xf numFmtId="0" fontId="3" fillId="0" borderId="72" xfId="0" applyFont="1" applyBorder="1" applyAlignment="1" quotePrefix="1">
      <alignment horizontal="left" vertical="center"/>
    </xf>
    <xf numFmtId="0" fontId="3" fillId="0" borderId="73" xfId="0" applyFont="1" applyBorder="1" applyAlignment="1" quotePrefix="1">
      <alignment horizontal="left" vertical="center"/>
    </xf>
    <xf numFmtId="0" fontId="3" fillId="0" borderId="59" xfId="0" applyFont="1" applyBorder="1" applyAlignment="1" quotePrefix="1">
      <alignment horizontal="left" vertical="center"/>
    </xf>
    <xf numFmtId="168" fontId="0" fillId="38" borderId="10" xfId="0" applyNumberFormat="1" applyFill="1" applyBorder="1" applyAlignment="1">
      <alignment horizontal="left"/>
    </xf>
    <xf numFmtId="168" fontId="0" fillId="38" borderId="29" xfId="0" applyNumberFormat="1" applyFill="1" applyBorder="1" applyAlignment="1">
      <alignment horizontal="left"/>
    </xf>
    <xf numFmtId="168" fontId="0" fillId="41" borderId="10" xfId="0" applyNumberFormat="1" applyFill="1" applyBorder="1" applyAlignment="1">
      <alignment horizontal="left"/>
    </xf>
    <xf numFmtId="168" fontId="0" fillId="41" borderId="29" xfId="0" applyNumberFormat="1" applyFill="1" applyBorder="1" applyAlignment="1">
      <alignment horizontal="left"/>
    </xf>
    <xf numFmtId="168" fontId="0" fillId="38" borderId="11" xfId="0" applyNumberFormat="1" applyFill="1" applyBorder="1" applyAlignment="1">
      <alignment horizontal="left"/>
    </xf>
    <xf numFmtId="168" fontId="0" fillId="38" borderId="28" xfId="0" applyNumberFormat="1" applyFill="1" applyBorder="1" applyAlignment="1">
      <alignment horizontal="left"/>
    </xf>
    <xf numFmtId="168" fontId="0" fillId="41" borderId="11" xfId="0" applyNumberFormat="1" applyFill="1" applyBorder="1" applyAlignment="1">
      <alignment horizontal="left"/>
    </xf>
    <xf numFmtId="168" fontId="0" fillId="41" borderId="28" xfId="0" applyNumberFormat="1" applyFill="1" applyBorder="1" applyAlignment="1">
      <alignment horizontal="left"/>
    </xf>
    <xf numFmtId="167" fontId="0" fillId="38" borderId="10" xfId="0" applyNumberFormat="1" applyFill="1" applyBorder="1" applyAlignment="1">
      <alignment horizontal="left"/>
    </xf>
    <xf numFmtId="167" fontId="0" fillId="38" borderId="29" xfId="0" applyNumberFormat="1" applyFill="1" applyBorder="1" applyAlignment="1">
      <alignment horizontal="left"/>
    </xf>
    <xf numFmtId="167" fontId="0" fillId="41" borderId="10" xfId="0" applyNumberFormat="1" applyFill="1" applyBorder="1" applyAlignment="1">
      <alignment horizontal="left"/>
    </xf>
    <xf numFmtId="167" fontId="0" fillId="41" borderId="29" xfId="0" applyNumberFormat="1" applyFill="1" applyBorder="1" applyAlignment="1">
      <alignment horizontal="left"/>
    </xf>
    <xf numFmtId="189" fontId="0" fillId="38" borderId="0" xfId="0" applyNumberFormat="1" applyFill="1" applyBorder="1" applyAlignment="1">
      <alignment horizontal="left"/>
    </xf>
    <xf numFmtId="189" fontId="0" fillId="38" borderId="30" xfId="0" applyNumberFormat="1" applyFill="1" applyBorder="1" applyAlignment="1">
      <alignment horizontal="left"/>
    </xf>
    <xf numFmtId="191" fontId="0" fillId="41" borderId="0" xfId="0" applyNumberFormat="1" applyFill="1" applyBorder="1" applyAlignment="1">
      <alignment horizontal="left"/>
    </xf>
    <xf numFmtId="191" fontId="0" fillId="41" borderId="30" xfId="0" applyNumberFormat="1" applyFill="1" applyBorder="1" applyAlignment="1">
      <alignment horizontal="left"/>
    </xf>
    <xf numFmtId="191" fontId="0" fillId="38" borderId="0" xfId="0" applyNumberFormat="1" applyFill="1" applyBorder="1" applyAlignment="1">
      <alignment horizontal="left"/>
    </xf>
    <xf numFmtId="191" fontId="0" fillId="38" borderId="30" xfId="0" applyNumberFormat="1" applyFill="1" applyBorder="1" applyAlignment="1">
      <alignment horizontal="left"/>
    </xf>
    <xf numFmtId="168" fontId="0" fillId="38" borderId="0" xfId="0" applyNumberFormat="1" applyFill="1" applyBorder="1" applyAlignment="1">
      <alignment horizontal="left"/>
    </xf>
    <xf numFmtId="168" fontId="0" fillId="38" borderId="30" xfId="0" applyNumberFormat="1" applyFill="1" applyBorder="1" applyAlignment="1">
      <alignment horizontal="left"/>
    </xf>
    <xf numFmtId="179" fontId="0" fillId="38" borderId="0" xfId="0" applyNumberFormat="1" applyFill="1" applyBorder="1" applyAlignment="1">
      <alignment horizontal="left"/>
    </xf>
    <xf numFmtId="179" fontId="0" fillId="38" borderId="30" xfId="0" applyNumberFormat="1" applyFill="1" applyBorder="1" applyAlignment="1">
      <alignment horizontal="left"/>
    </xf>
    <xf numFmtId="168" fontId="0" fillId="41" borderId="0" xfId="0" applyNumberFormat="1" applyFill="1" applyBorder="1" applyAlignment="1">
      <alignment horizontal="left"/>
    </xf>
    <xf numFmtId="168" fontId="0" fillId="41" borderId="30" xfId="0" applyNumberFormat="1" applyFill="1" applyBorder="1" applyAlignment="1">
      <alignment horizontal="left"/>
    </xf>
    <xf numFmtId="0" fontId="0" fillId="34" borderId="11" xfId="0" applyFill="1" applyBorder="1" applyAlignment="1">
      <alignment horizontal="center" vertical="top"/>
    </xf>
    <xf numFmtId="0" fontId="0" fillId="38" borderId="27" xfId="0" applyFill="1" applyBorder="1" applyAlignment="1">
      <alignment horizontal="left"/>
    </xf>
    <xf numFmtId="0" fontId="0" fillId="38" borderId="24" xfId="0" applyFill="1" applyBorder="1" applyAlignment="1">
      <alignment horizontal="left"/>
    </xf>
    <xf numFmtId="0" fontId="0" fillId="41" borderId="27" xfId="0" applyFill="1" applyBorder="1" applyAlignment="1">
      <alignment horizontal="left"/>
    </xf>
    <xf numFmtId="0" fontId="0" fillId="41" borderId="24" xfId="0" applyFill="1" applyBorder="1" applyAlignment="1">
      <alignment horizontal="left"/>
    </xf>
    <xf numFmtId="0" fontId="0" fillId="15" borderId="27" xfId="0" applyFill="1" applyBorder="1" applyAlignment="1">
      <alignment horizontal="left"/>
    </xf>
    <xf numFmtId="0" fontId="0" fillId="15" borderId="24" xfId="0" applyFill="1" applyBorder="1" applyAlignment="1">
      <alignment horizontal="left"/>
    </xf>
    <xf numFmtId="0" fontId="0" fillId="38" borderId="11" xfId="0" applyFill="1" applyBorder="1" applyAlignment="1">
      <alignment horizontal="left"/>
    </xf>
    <xf numFmtId="0" fontId="0" fillId="38" borderId="28" xfId="0" applyFill="1" applyBorder="1" applyAlignment="1">
      <alignment horizontal="left"/>
    </xf>
    <xf numFmtId="192" fontId="0" fillId="38" borderId="0" xfId="0" applyNumberFormat="1" applyFill="1" applyBorder="1" applyAlignment="1">
      <alignment horizontal="left"/>
    </xf>
    <xf numFmtId="192" fontId="0" fillId="38" borderId="30" xfId="0" applyNumberFormat="1" applyFill="1" applyBorder="1" applyAlignment="1">
      <alignment horizontal="left"/>
    </xf>
    <xf numFmtId="190" fontId="0" fillId="38" borderId="0" xfId="0" applyNumberFormat="1" applyFill="1" applyBorder="1" applyAlignment="1">
      <alignment horizontal="left"/>
    </xf>
    <xf numFmtId="190" fontId="0" fillId="38" borderId="30" xfId="0" applyNumberFormat="1" applyFill="1" applyBorder="1" applyAlignment="1">
      <alignment horizontal="left"/>
    </xf>
    <xf numFmtId="0" fontId="7" fillId="0" borderId="35" xfId="0" applyFont="1" applyBorder="1" applyAlignment="1">
      <alignment horizontal="center"/>
    </xf>
    <xf numFmtId="0" fontId="7" fillId="0" borderId="36" xfId="0" applyFont="1" applyBorder="1" applyAlignment="1">
      <alignment horizontal="center"/>
    </xf>
    <xf numFmtId="0" fontId="7" fillId="0" borderId="37" xfId="0" applyFont="1" applyBorder="1" applyAlignment="1">
      <alignment horizontal="center"/>
    </xf>
    <xf numFmtId="0" fontId="3" fillId="38" borderId="23" xfId="0" applyFont="1" applyFill="1" applyBorder="1" applyAlignment="1">
      <alignment horizontal="center"/>
    </xf>
    <xf numFmtId="0" fontId="3" fillId="38" borderId="27" xfId="0" applyFont="1" applyFill="1" applyBorder="1" applyAlignment="1">
      <alignment horizontal="center"/>
    </xf>
    <xf numFmtId="0" fontId="3" fillId="38" borderId="24" xfId="0" applyFont="1" applyFill="1" applyBorder="1" applyAlignment="1">
      <alignment horizontal="center"/>
    </xf>
    <xf numFmtId="0" fontId="3" fillId="38" borderId="28" xfId="0" applyFont="1" applyFill="1" applyBorder="1" applyAlignment="1">
      <alignment horizontal="center"/>
    </xf>
    <xf numFmtId="0" fontId="0" fillId="38" borderId="31" xfId="0" applyFill="1" applyBorder="1" applyAlignment="1">
      <alignment horizontal="center" vertical="center"/>
    </xf>
    <xf numFmtId="0" fontId="0" fillId="38" borderId="11" xfId="0" applyFill="1" applyBorder="1" applyAlignment="1">
      <alignment horizontal="center" vertical="center"/>
    </xf>
    <xf numFmtId="0" fontId="0" fillId="38" borderId="32" xfId="0" applyFill="1" applyBorder="1" applyAlignment="1">
      <alignment horizontal="center" vertical="center"/>
    </xf>
    <xf numFmtId="0" fontId="0" fillId="38" borderId="10" xfId="0" applyFill="1" applyBorder="1" applyAlignment="1">
      <alignment horizontal="center" vertical="center"/>
    </xf>
    <xf numFmtId="0" fontId="68" fillId="38" borderId="23" xfId="0" applyFont="1" applyFill="1" applyBorder="1" applyAlignment="1">
      <alignment horizontal="center"/>
    </xf>
    <xf numFmtId="0" fontId="68" fillId="38" borderId="27" xfId="0" applyFont="1" applyFill="1" applyBorder="1" applyAlignment="1">
      <alignment horizontal="center"/>
    </xf>
    <xf numFmtId="0" fontId="68" fillId="38" borderId="24" xfId="0" applyFont="1" applyFill="1" applyBorder="1" applyAlignment="1">
      <alignment horizontal="center"/>
    </xf>
    <xf numFmtId="0" fontId="0" fillId="38" borderId="31" xfId="0" applyFill="1" applyBorder="1" applyAlignment="1">
      <alignment horizontal="left" vertical="center"/>
    </xf>
    <xf numFmtId="0" fontId="0" fillId="38" borderId="11" xfId="0" applyFill="1" applyBorder="1" applyAlignment="1">
      <alignment horizontal="left" vertical="center"/>
    </xf>
    <xf numFmtId="0" fontId="0" fillId="38" borderId="32" xfId="0" applyFill="1" applyBorder="1" applyAlignment="1">
      <alignment horizontal="left" vertical="center"/>
    </xf>
    <xf numFmtId="0" fontId="0" fillId="38" borderId="10" xfId="0" applyFill="1" applyBorder="1" applyAlignment="1">
      <alignment horizontal="left" vertical="center"/>
    </xf>
    <xf numFmtId="0" fontId="65" fillId="38" borderId="31" xfId="0" applyFont="1" applyFill="1" applyBorder="1" applyAlignment="1">
      <alignment horizontal="center" vertical="center"/>
    </xf>
    <xf numFmtId="0" fontId="65" fillId="38" borderId="11" xfId="0" applyFont="1" applyFill="1" applyBorder="1" applyAlignment="1">
      <alignment horizontal="center" vertical="center"/>
    </xf>
    <xf numFmtId="0" fontId="65" fillId="38" borderId="32" xfId="0" applyFont="1" applyFill="1" applyBorder="1" applyAlignment="1">
      <alignment horizontal="center" vertical="center"/>
    </xf>
    <xf numFmtId="0" fontId="65" fillId="38" borderId="10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/>
    </xf>
    <xf numFmtId="0" fontId="3" fillId="0" borderId="27" xfId="0" applyFont="1" applyFill="1" applyBorder="1" applyAlignment="1">
      <alignment horizontal="center"/>
    </xf>
    <xf numFmtId="0" fontId="3" fillId="0" borderId="24" xfId="0" applyFont="1" applyFill="1" applyBorder="1" applyAlignment="1">
      <alignment horizontal="center"/>
    </xf>
    <xf numFmtId="180" fontId="0" fillId="38" borderId="25" xfId="0" applyNumberFormat="1" applyFont="1" applyFill="1" applyBorder="1" applyAlignment="1">
      <alignment horizontal="right" vertical="center"/>
    </xf>
    <xf numFmtId="180" fontId="0" fillId="38" borderId="32" xfId="0" applyNumberFormat="1" applyFont="1" applyFill="1" applyBorder="1" applyAlignment="1">
      <alignment horizontal="right" vertical="center"/>
    </xf>
    <xf numFmtId="182" fontId="0" fillId="38" borderId="30" xfId="0" applyNumberFormat="1" applyFont="1" applyFill="1" applyBorder="1" applyAlignment="1">
      <alignment horizontal="left" vertical="center"/>
    </xf>
    <xf numFmtId="182" fontId="0" fillId="38" borderId="29" xfId="0" applyNumberFormat="1" applyFont="1" applyFill="1" applyBorder="1" applyAlignment="1">
      <alignment horizontal="left" vertical="center"/>
    </xf>
    <xf numFmtId="182" fontId="0" fillId="38" borderId="28" xfId="0" applyNumberFormat="1" applyFont="1" applyFill="1" applyBorder="1" applyAlignment="1">
      <alignment horizontal="center" vertical="center"/>
    </xf>
    <xf numFmtId="182" fontId="0" fillId="38" borderId="29" xfId="0" applyNumberFormat="1" applyFont="1" applyFill="1" applyBorder="1" applyAlignment="1">
      <alignment horizontal="center" vertical="center"/>
    </xf>
    <xf numFmtId="0" fontId="68" fillId="0" borderId="23" xfId="0" applyFont="1" applyFill="1" applyBorder="1" applyAlignment="1">
      <alignment horizontal="center"/>
    </xf>
    <xf numFmtId="0" fontId="68" fillId="0" borderId="27" xfId="0" applyFont="1" applyFill="1" applyBorder="1" applyAlignment="1">
      <alignment horizontal="center"/>
    </xf>
    <xf numFmtId="0" fontId="68" fillId="0" borderId="24" xfId="0" applyFont="1" applyFill="1" applyBorder="1" applyAlignment="1">
      <alignment horizontal="center"/>
    </xf>
    <xf numFmtId="0" fontId="31" fillId="0" borderId="31" xfId="69" applyFont="1" applyBorder="1" applyAlignment="1">
      <alignment horizontal="center"/>
      <protection/>
    </xf>
    <xf numFmtId="0" fontId="31" fillId="0" borderId="11" xfId="69" applyFont="1" applyBorder="1" applyAlignment="1">
      <alignment horizontal="center"/>
      <protection/>
    </xf>
    <xf numFmtId="0" fontId="31" fillId="0" borderId="28" xfId="69" applyFont="1" applyBorder="1" applyAlignment="1">
      <alignment horizontal="center"/>
      <protection/>
    </xf>
    <xf numFmtId="0" fontId="32" fillId="38" borderId="32" xfId="69" applyFont="1" applyFill="1" applyBorder="1" applyAlignment="1">
      <alignment horizontal="center"/>
      <protection/>
    </xf>
    <xf numFmtId="0" fontId="32" fillId="38" borderId="10" xfId="69" applyFont="1" applyFill="1" applyBorder="1" applyAlignment="1">
      <alignment horizontal="center"/>
      <protection/>
    </xf>
    <xf numFmtId="0" fontId="32" fillId="38" borderId="29" xfId="69" applyFont="1" applyFill="1" applyBorder="1" applyAlignment="1">
      <alignment horizontal="center"/>
      <protection/>
    </xf>
    <xf numFmtId="0" fontId="33" fillId="0" borderId="23" xfId="69" applyFont="1" applyBorder="1" applyAlignment="1">
      <alignment horizontal="center"/>
      <protection/>
    </xf>
    <xf numFmtId="0" fontId="33" fillId="0" borderId="27" xfId="69" applyFont="1" applyBorder="1" applyAlignment="1">
      <alignment horizontal="center"/>
      <protection/>
    </xf>
    <xf numFmtId="0" fontId="33" fillId="0" borderId="24" xfId="69" applyFont="1" applyBorder="1" applyAlignment="1">
      <alignment horizontal="center"/>
      <protection/>
    </xf>
    <xf numFmtId="0" fontId="3" fillId="38" borderId="27" xfId="0" applyFont="1" applyFill="1" applyBorder="1" applyAlignment="1">
      <alignment horizontal="left" vertical="center"/>
    </xf>
    <xf numFmtId="0" fontId="32" fillId="0" borderId="32" xfId="69" applyFont="1" applyBorder="1" applyAlignment="1">
      <alignment horizontal="center"/>
      <protection/>
    </xf>
    <xf numFmtId="0" fontId="32" fillId="0" borderId="10" xfId="69" applyFont="1" applyBorder="1" applyAlignment="1">
      <alignment horizontal="center"/>
      <protection/>
    </xf>
    <xf numFmtId="0" fontId="32" fillId="0" borderId="29" xfId="69" applyFont="1" applyBorder="1" applyAlignment="1">
      <alignment horizontal="center"/>
      <protection/>
    </xf>
    <xf numFmtId="0" fontId="0" fillId="34" borderId="0" xfId="0" applyFont="1" applyFill="1" applyBorder="1" applyAlignment="1">
      <alignment horizontal="left" vertical="top" wrapText="1"/>
    </xf>
    <xf numFmtId="0" fontId="0" fillId="38" borderId="46" xfId="0" applyFill="1" applyBorder="1" applyAlignment="1">
      <alignment horizontal="center" vertical="center" wrapText="1"/>
    </xf>
    <xf numFmtId="0" fontId="0" fillId="38" borderId="33" xfId="0" applyFill="1" applyBorder="1" applyAlignment="1">
      <alignment horizontal="center" vertical="center" wrapText="1"/>
    </xf>
    <xf numFmtId="0" fontId="0" fillId="38" borderId="34" xfId="0" applyFill="1" applyBorder="1" applyAlignment="1">
      <alignment horizontal="center" vertical="center" wrapText="1"/>
    </xf>
    <xf numFmtId="0" fontId="87" fillId="38" borderId="46" xfId="0" applyFont="1" applyFill="1" applyBorder="1" applyAlignment="1">
      <alignment horizontal="center" vertical="center" wrapText="1"/>
    </xf>
    <xf numFmtId="0" fontId="87" fillId="38" borderId="33" xfId="0" applyFont="1" applyFill="1" applyBorder="1" applyAlignment="1">
      <alignment horizontal="center" vertical="center" wrapText="1"/>
    </xf>
    <xf numFmtId="0" fontId="87" fillId="38" borderId="34" xfId="0" applyFont="1" applyFill="1" applyBorder="1" applyAlignment="1">
      <alignment horizontal="center" vertical="center" wrapText="1"/>
    </xf>
  </cellXfs>
  <cellStyles count="6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11" xfId="44"/>
    <cellStyle name="Comma 2" xfId="45"/>
    <cellStyle name="Currency" xfId="46"/>
    <cellStyle name="Currency [0]" xfId="47"/>
    <cellStyle name="Date" xfId="48"/>
    <cellStyle name="Explanatory Text" xfId="49"/>
    <cellStyle name="Fixed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eading1" xfId="57"/>
    <cellStyle name="Heading2" xfId="58"/>
    <cellStyle name="Hyperlink" xfId="59"/>
    <cellStyle name="Input" xfId="60"/>
    <cellStyle name="Linked Cell" xfId="61"/>
    <cellStyle name="Neutral" xfId="62"/>
    <cellStyle name="Normal - Style1" xfId="63"/>
    <cellStyle name="Normal - Style2" xfId="64"/>
    <cellStyle name="Normal - Style3" xfId="65"/>
    <cellStyle name="Normal - Style4" xfId="66"/>
    <cellStyle name="Normal - Style5" xfId="67"/>
    <cellStyle name="Normal - Style6" xfId="68"/>
    <cellStyle name="Normal 2" xfId="69"/>
    <cellStyle name="Normal_Cmx_MiaBiomass calcs FINALrev5 2" xfId="70"/>
    <cellStyle name="Note" xfId="71"/>
    <cellStyle name="Output" xfId="72"/>
    <cellStyle name="Percent" xfId="73"/>
    <cellStyle name="Percent 2" xfId="74"/>
    <cellStyle name="STYLE1 - Style7" xfId="75"/>
    <cellStyle name="STYLE2 - Style8" xfId="76"/>
    <cellStyle name="Title" xfId="77"/>
    <cellStyle name="Total" xfId="78"/>
    <cellStyle name="Warning Text" xfId="7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externalLink" Target="externalLinks/externalLink2.xml" /><Relationship Id="rId19" Type="http://schemas.openxmlformats.org/officeDocument/2006/relationships/externalLink" Target="externalLinks/externalLink3.xml" /><Relationship Id="rId20" Type="http://schemas.openxmlformats.org/officeDocument/2006/relationships/externalLink" Target="externalLinks/externalLink4.xml" /><Relationship Id="rId21" Type="http://schemas.openxmlformats.org/officeDocument/2006/relationships/externalLink" Target="externalLinks/externalLink5.xml" /><Relationship Id="rId2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38100</xdr:colOff>
      <xdr:row>19</xdr:row>
      <xdr:rowOff>9525</xdr:rowOff>
    </xdr:from>
    <xdr:ext cx="2628900" cy="400050"/>
    <xdr:sp>
      <xdr:nvSpPr>
        <xdr:cNvPr id="1" name="TextBox 11"/>
        <xdr:cNvSpPr txBox="1">
          <a:spLocks noChangeArrowheads="1"/>
        </xdr:cNvSpPr>
      </xdr:nvSpPr>
      <xdr:spPr>
        <a:xfrm>
          <a:off x="885825" y="4924425"/>
          <a:ext cx="26289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E=[k(sL)^0.91 (W)^1.02 ]x (1-P/4N)</a:t>
          </a:r>
          <a:r>
            <a:rPr lang="en-US" cap="none" sz="9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oneCellAnchor>
  <xdr:oneCellAnchor>
    <xdr:from>
      <xdr:col>3</xdr:col>
      <xdr:colOff>2905125</xdr:colOff>
      <xdr:row>19</xdr:row>
      <xdr:rowOff>19050</xdr:rowOff>
    </xdr:from>
    <xdr:ext cx="3419475" cy="390525"/>
    <xdr:sp>
      <xdr:nvSpPr>
        <xdr:cNvPr id="2" name="TextBox 12"/>
        <xdr:cNvSpPr txBox="1">
          <a:spLocks noChangeArrowheads="1"/>
        </xdr:cNvSpPr>
      </xdr:nvSpPr>
      <xdr:spPr>
        <a:xfrm>
          <a:off x="3752850" y="4933950"/>
          <a:ext cx="341947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where</a:t>
          </a:r>
          <a:r>
            <a:rPr lang="en-US" cap="none" sz="9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from AP-42 and references, 
</a:t>
          </a:r>
          <a:r>
            <a:rPr lang="en-US" cap="none" sz="9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k=0.0027 (PM), k=0.0022 (PM10),  k=0.00054 (PM2.5) sL=12, W=22, p=120, N=365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oneCellAnchor>
  <xdr:oneCellAnchor>
    <xdr:from>
      <xdr:col>7</xdr:col>
      <xdr:colOff>409575</xdr:colOff>
      <xdr:row>19</xdr:row>
      <xdr:rowOff>9525</xdr:rowOff>
    </xdr:from>
    <xdr:ext cx="3771900" cy="400050"/>
    <xdr:sp>
      <xdr:nvSpPr>
        <xdr:cNvPr id="3" name="TextBox 13"/>
        <xdr:cNvSpPr txBox="1">
          <a:spLocks noChangeArrowheads="1"/>
        </xdr:cNvSpPr>
      </xdr:nvSpPr>
      <xdr:spPr>
        <a:xfrm>
          <a:off x="7239000" y="4924425"/>
          <a:ext cx="37719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E=[0.0027(12)^0.91 (22)^1.02 ]x (1-120/(4(365)))</a:t>
          </a:r>
          <a:r>
            <a:rPr lang="en-US" cap="none" sz="9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= 0.556</a:t>
          </a:r>
        </a:p>
      </xdr:txBody>
    </xdr:sp>
    <xdr:clientData/>
  </xdr:oneCellAnchor>
  <xdr:oneCellAnchor>
    <xdr:from>
      <xdr:col>3</xdr:col>
      <xdr:colOff>19050</xdr:colOff>
      <xdr:row>17</xdr:row>
      <xdr:rowOff>19050</xdr:rowOff>
    </xdr:from>
    <xdr:ext cx="2571750" cy="542925"/>
    <xdr:sp>
      <xdr:nvSpPr>
        <xdr:cNvPr id="4" name="TextBox 14"/>
        <xdr:cNvSpPr txBox="1">
          <a:spLocks noChangeArrowheads="1"/>
        </xdr:cNvSpPr>
      </xdr:nvSpPr>
      <xdr:spPr>
        <a:xfrm>
          <a:off x="866775" y="4362450"/>
          <a:ext cx="257175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0.1 miles)/trip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x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trip/(22 tons)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x </a:t>
          </a:r>
          <a:r>
            <a:rPr lang="en-US" cap="none" sz="900" b="0" i="1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175,000 tons= </a:t>
          </a:r>
          <a:r>
            <a:rPr lang="en-US" cap="none" sz="900" b="0" i="1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 795 </a:t>
          </a:r>
          <a:r>
            <a:rPr lang="en-US" cap="none" sz="900" b="0" i="1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miles</a:t>
          </a:r>
        </a:p>
      </xdr:txBody>
    </xdr:sp>
    <xdr:clientData/>
  </xdr:oneCellAnchor>
  <xdr:oneCellAnchor>
    <xdr:from>
      <xdr:col>3</xdr:col>
      <xdr:colOff>19050</xdr:colOff>
      <xdr:row>15</xdr:row>
      <xdr:rowOff>19050</xdr:rowOff>
    </xdr:from>
    <xdr:ext cx="3028950" cy="571500"/>
    <xdr:sp>
      <xdr:nvSpPr>
        <xdr:cNvPr id="5" name="TextBox 15"/>
        <xdr:cNvSpPr txBox="1">
          <a:spLocks noChangeArrowheads="1"/>
        </xdr:cNvSpPr>
      </xdr:nvSpPr>
      <xdr:spPr>
        <a:xfrm>
          <a:off x="866775" y="3790950"/>
          <a:ext cx="302895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1.3 miles)/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〖trip〗^d x〖trip〗^d/(22 tons)x 175,000 tons  alt fuel=  10,341 miles</a:t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ackroom\5000\050333.0001\CC199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ackroom\projects\5000\050333.0001\CC19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ackroom\projects\3000\030187.0001\EI%20files%20-%2002-21-03%20wo%20CBI\EI%20files%20-%20Allowable%202000\Ashgrove2000p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ackroom\3000\030187.0001\EI%20files%20-%2002-21-03%20wo%20CBI\EI%20files%20-%20Allowable%202000\Ashgrove2000p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802%20-%20Roanoke%20Cement\802-13-01%20-%20Roanoke%20Alt%20Fuel\Submission\Baseline%20Emissions%20Data\NEWGASES-lbs%2000-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Thruput"/>
      <sheetName val="Main"/>
      <sheetName val="Kiln Torches"/>
      <sheetName val="Point"/>
      <sheetName val="ProcessFug"/>
      <sheetName val="EFactors"/>
      <sheetName val="Piles"/>
      <sheetName val="Unpaved Roads"/>
      <sheetName val="Paved Road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Thruput"/>
      <sheetName val="Main"/>
      <sheetName val="Kiln Torches"/>
      <sheetName val="Point"/>
      <sheetName val="ProcessFug"/>
      <sheetName val="EFactors"/>
      <sheetName val="Piles"/>
      <sheetName val="Unpaved Roads"/>
      <sheetName val="Paved Road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-Rates"/>
      <sheetName val="E-Summary"/>
      <sheetName val="Inputs"/>
      <sheetName val="Kilns"/>
      <sheetName val="Point Srcs"/>
      <sheetName val="Process Fugitives"/>
      <sheetName val="Road Inputs"/>
      <sheetName val="Paved Rds"/>
      <sheetName val="Pvd Rd Summary"/>
      <sheetName val="Unpaved Rds"/>
      <sheetName val="Unpaved Rd Smry"/>
      <sheetName val="Piles"/>
      <sheetName val="Transfers"/>
      <sheetName val="Modeling-Pnt"/>
      <sheetName val="Modeling-Fug"/>
      <sheetName val="Mdlng-Area Vol"/>
      <sheetName val="Bldg List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E-Rates"/>
      <sheetName val="E-Summary"/>
      <sheetName val="Inputs"/>
      <sheetName val="Kilns"/>
      <sheetName val="Point Srcs"/>
      <sheetName val="Process Fugitives"/>
      <sheetName val="Road Inputs"/>
      <sheetName val="Paved Rds"/>
      <sheetName val="Pvd Rd Summary"/>
      <sheetName val="Unpaved Rds"/>
      <sheetName val="Unpaved Rd Smry"/>
      <sheetName val="Piles"/>
      <sheetName val="Transfers"/>
      <sheetName val="Modeling-Pnt"/>
      <sheetName val="Modeling-Fug"/>
      <sheetName val="Mdlng-Area Vol"/>
      <sheetName val="Bldg List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 '00-Present total lbs. gases"/>
      <sheetName val="ChartData"/>
      <sheetName val="Charts"/>
      <sheetName val=" '01-'02 lbs. gases- Work Page"/>
      <sheetName val="1997- total lbs.gases"/>
      <sheetName val="Dan Crowley"/>
      <sheetName val="Sheet1"/>
    </sheetNames>
    <sheetDataSet>
      <sheetData sheetId="2">
        <row r="38">
          <cell r="B38">
            <v>145</v>
          </cell>
        </row>
        <row r="39">
          <cell r="B39">
            <v>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2.bin" /><Relationship Id="rId3" Type="http://schemas.openxmlformats.org/officeDocument/2006/relationships/customProperty" Target="../customProperty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R68"/>
  <sheetViews>
    <sheetView showGridLines="0" tabSelected="1" zoomScale="80" zoomScaleNormal="80" zoomScaleSheetLayoutView="80" zoomScalePageLayoutView="0" workbookViewId="0" topLeftCell="A1">
      <selection activeCell="E31" sqref="E31"/>
    </sheetView>
  </sheetViews>
  <sheetFormatPr defaultColWidth="9.140625" defaultRowHeight="15"/>
  <cols>
    <col min="1" max="1" width="3.7109375" style="0" customWidth="1"/>
    <col min="2" max="2" width="2.8515625" style="0" customWidth="1"/>
    <col min="3" max="3" width="3.7109375" style="0" customWidth="1"/>
    <col min="4" max="4" width="3.7109375" style="147" customWidth="1"/>
    <col min="5" max="5" width="47.00390625" style="30" customWidth="1"/>
    <col min="6" max="12" width="12.7109375" style="0" customWidth="1"/>
    <col min="13" max="13" width="52.7109375" style="0" customWidth="1"/>
    <col min="14" max="17" width="12.7109375" style="0" hidden="1" customWidth="1"/>
    <col min="18" max="18" width="2.8515625" style="0" customWidth="1"/>
  </cols>
  <sheetData>
    <row r="2" s="147" customFormat="1" ht="15.75" thickBot="1">
      <c r="E2" s="30"/>
    </row>
    <row r="3" spans="2:18" ht="6" customHeight="1" thickTop="1">
      <c r="B3" s="142"/>
      <c r="C3" s="9"/>
      <c r="D3" s="9"/>
      <c r="E3" s="127"/>
      <c r="F3" s="9"/>
      <c r="G3" s="9"/>
      <c r="H3" s="312"/>
      <c r="I3" s="9"/>
      <c r="J3" s="9"/>
      <c r="K3" s="9"/>
      <c r="L3" s="9"/>
      <c r="M3" s="9"/>
      <c r="N3" s="9"/>
      <c r="O3" s="9"/>
      <c r="P3" s="9"/>
      <c r="Q3" s="9"/>
      <c r="R3" s="434"/>
    </row>
    <row r="4" spans="2:18" s="32" customFormat="1" ht="19.5" customHeight="1">
      <c r="B4" s="33"/>
      <c r="C4" s="34"/>
      <c r="D4" s="34"/>
      <c r="E4" s="137" t="s">
        <v>49</v>
      </c>
      <c r="F4" s="40" t="s">
        <v>145</v>
      </c>
      <c r="G4" s="40" t="s">
        <v>8</v>
      </c>
      <c r="H4" s="40" t="s">
        <v>3</v>
      </c>
      <c r="I4" s="40" t="s">
        <v>50</v>
      </c>
      <c r="J4" s="40" t="s">
        <v>70</v>
      </c>
      <c r="K4" s="40" t="s">
        <v>68</v>
      </c>
      <c r="L4" s="92" t="s">
        <v>69</v>
      </c>
      <c r="M4" s="98"/>
      <c r="N4" s="93" t="s">
        <v>38</v>
      </c>
      <c r="O4" s="40" t="s">
        <v>39</v>
      </c>
      <c r="P4" s="40" t="s">
        <v>40</v>
      </c>
      <c r="Q4" s="92" t="s">
        <v>66</v>
      </c>
      <c r="R4" s="435"/>
    </row>
    <row r="5" spans="2:18" s="32" customFormat="1" ht="3.75" customHeight="1" thickBot="1">
      <c r="B5" s="282"/>
      <c r="C5" s="34"/>
      <c r="D5" s="34"/>
      <c r="E5" s="35"/>
      <c r="F5" s="169"/>
      <c r="G5" s="169"/>
      <c r="H5" s="169"/>
      <c r="I5" s="169"/>
      <c r="J5" s="169"/>
      <c r="K5" s="169"/>
      <c r="L5" s="170"/>
      <c r="M5" s="99"/>
      <c r="N5" s="171"/>
      <c r="O5" s="169"/>
      <c r="P5" s="169"/>
      <c r="Q5" s="170"/>
      <c r="R5" s="435"/>
    </row>
    <row r="6" spans="2:18" s="32" customFormat="1" ht="19.5" customHeight="1">
      <c r="B6" s="33"/>
      <c r="C6" s="283" t="s">
        <v>52</v>
      </c>
      <c r="D6" s="212"/>
      <c r="E6" s="172"/>
      <c r="F6" s="173" t="s">
        <v>26</v>
      </c>
      <c r="G6" s="173" t="s">
        <v>26</v>
      </c>
      <c r="H6" s="173" t="s">
        <v>26</v>
      </c>
      <c r="I6" s="174" t="s">
        <v>26</v>
      </c>
      <c r="J6" s="174" t="s">
        <v>26</v>
      </c>
      <c r="K6" s="174" t="s">
        <v>26</v>
      </c>
      <c r="L6" s="174" t="s">
        <v>26</v>
      </c>
      <c r="M6" s="175"/>
      <c r="N6" s="174" t="s">
        <v>26</v>
      </c>
      <c r="O6" s="174" t="s">
        <v>26</v>
      </c>
      <c r="P6" s="174" t="s">
        <v>26</v>
      </c>
      <c r="Q6" s="418" t="s">
        <v>26</v>
      </c>
      <c r="R6" s="435"/>
    </row>
    <row r="7" spans="2:18" s="32" customFormat="1" ht="19.5" customHeight="1">
      <c r="B7" s="33"/>
      <c r="C7" s="176" t="s">
        <v>100</v>
      </c>
      <c r="D7" s="213" t="s">
        <v>129</v>
      </c>
      <c r="E7" s="124"/>
      <c r="F7" s="285" t="s">
        <v>142</v>
      </c>
      <c r="G7" s="156"/>
      <c r="H7" s="156"/>
      <c r="I7" s="447">
        <f>'Calculations production'!L27</f>
        <v>324589.5</v>
      </c>
      <c r="J7" s="286" t="s">
        <v>141</v>
      </c>
      <c r="K7" s="35"/>
      <c r="L7" s="35"/>
      <c r="M7" s="35"/>
      <c r="N7" s="35"/>
      <c r="O7" s="35"/>
      <c r="P7" s="35"/>
      <c r="Q7" s="35"/>
      <c r="R7" s="435"/>
    </row>
    <row r="8" spans="2:18" s="32" customFormat="1" ht="19.5" customHeight="1">
      <c r="B8" s="33"/>
      <c r="C8" s="610" t="s">
        <v>130</v>
      </c>
      <c r="D8" s="611"/>
      <c r="E8" s="612"/>
      <c r="F8" s="336">
        <f>'Calculations emission'!G10</f>
        <v>0.73925</v>
      </c>
      <c r="G8" s="123">
        <f>'Calculations emission'!G6</f>
        <v>328.75</v>
      </c>
      <c r="H8" s="125">
        <f>'Calculations emission'!M6</f>
        <v>286.921</v>
      </c>
      <c r="I8" s="125">
        <f>'Calculations emission'!M10</f>
        <v>7.81287</v>
      </c>
      <c r="J8" s="125">
        <f>'Calculations emission'!G14</f>
        <v>5.684535</v>
      </c>
      <c r="K8" s="272">
        <f>'Calculations emission'!G16</f>
        <v>5.52536802</v>
      </c>
      <c r="L8" s="272">
        <f>'Calculations emission'!G18</f>
        <v>3.3083993700000005</v>
      </c>
      <c r="M8" s="100"/>
      <c r="N8" s="157">
        <f>'Calculations emission'!M14</f>
        <v>329968.65</v>
      </c>
      <c r="O8" s="125">
        <f>'Calculations emission'!M18</f>
        <v>10.874380000000002</v>
      </c>
      <c r="P8" s="125">
        <f>'Calculations emission'!M22</f>
        <v>1.6723875838926174</v>
      </c>
      <c r="Q8" s="419">
        <f>N8+O8*25+P8*310</f>
        <v>330758.9496510068</v>
      </c>
      <c r="R8" s="435"/>
    </row>
    <row r="9" spans="2:18" s="32" customFormat="1" ht="19.5" customHeight="1">
      <c r="B9" s="33"/>
      <c r="C9" s="273" t="s">
        <v>100</v>
      </c>
      <c r="D9" s="274" t="s">
        <v>131</v>
      </c>
      <c r="E9" s="275"/>
      <c r="F9" s="285" t="s">
        <v>142</v>
      </c>
      <c r="G9" s="156"/>
      <c r="H9" s="156"/>
      <c r="I9" s="287">
        <f>'Calculations production'!Z27</f>
        <v>382011</v>
      </c>
      <c r="J9" s="286" t="s">
        <v>141</v>
      </c>
      <c r="K9" s="35"/>
      <c r="L9" s="35"/>
      <c r="M9" s="35"/>
      <c r="N9" s="35"/>
      <c r="O9" s="35"/>
      <c r="P9" s="35"/>
      <c r="Q9" s="35"/>
      <c r="R9" s="435"/>
    </row>
    <row r="10" spans="2:18" s="32" customFormat="1" ht="19.5" customHeight="1">
      <c r="B10" s="33"/>
      <c r="C10" s="610" t="s">
        <v>130</v>
      </c>
      <c r="D10" s="611"/>
      <c r="E10" s="612"/>
      <c r="F10" s="154">
        <f>'Calculations emission'!U10</f>
        <v>5.4905</v>
      </c>
      <c r="G10" s="123">
        <f>'Calculations emission'!U6</f>
        <v>343.5</v>
      </c>
      <c r="H10" s="125">
        <f>'Calculations emission'!AA6</f>
        <v>572.2</v>
      </c>
      <c r="I10" s="125">
        <f>'Calculations emission'!AA10</f>
        <v>8.4</v>
      </c>
      <c r="J10" s="125">
        <f>'Calculations emission'!U14</f>
        <v>6.4898050000000005</v>
      </c>
      <c r="K10" s="272">
        <f>'Calculations emission'!U16</f>
        <v>6.30809046</v>
      </c>
      <c r="L10" s="272">
        <f>'Calculations emission'!U18</f>
        <v>3.7770665100000005</v>
      </c>
      <c r="M10" s="100"/>
      <c r="N10" s="157">
        <f>'Calculations emission'!AA14</f>
        <v>338960.05000000005</v>
      </c>
      <c r="O10" s="125">
        <f>'Calculations emission'!AA18</f>
        <v>13.36654</v>
      </c>
      <c r="P10" s="125">
        <f>'Calculations emission'!AA22</f>
        <v>2.1627919463087246</v>
      </c>
      <c r="Q10" s="419">
        <f>N10+O10*25+P10*310</f>
        <v>339964.6790033558</v>
      </c>
      <c r="R10" s="435"/>
    </row>
    <row r="11" spans="2:18" s="32" customFormat="1" ht="19.5" customHeight="1">
      <c r="B11" s="33"/>
      <c r="C11" s="176" t="s">
        <v>53</v>
      </c>
      <c r="D11" s="213"/>
      <c r="E11" s="124"/>
      <c r="F11" s="126"/>
      <c r="G11" s="155"/>
      <c r="H11" s="128"/>
      <c r="I11" s="128"/>
      <c r="J11" s="129"/>
      <c r="K11" s="202"/>
      <c r="L11" s="129"/>
      <c r="M11" s="101"/>
      <c r="N11" s="129"/>
      <c r="O11" s="129"/>
      <c r="P11" s="129"/>
      <c r="Q11" s="129"/>
      <c r="R11" s="435"/>
    </row>
    <row r="12" spans="2:18" ht="19.5" customHeight="1" thickBot="1">
      <c r="B12" s="14"/>
      <c r="C12" s="616" t="s">
        <v>101</v>
      </c>
      <c r="D12" s="617"/>
      <c r="E12" s="600"/>
      <c r="F12" s="177">
        <v>0</v>
      </c>
      <c r="G12" s="177">
        <v>0</v>
      </c>
      <c r="H12" s="178">
        <v>0</v>
      </c>
      <c r="I12" s="177">
        <v>0</v>
      </c>
      <c r="J12" s="177">
        <v>0</v>
      </c>
      <c r="K12" s="177">
        <v>0</v>
      </c>
      <c r="L12" s="177">
        <v>0</v>
      </c>
      <c r="M12" s="179"/>
      <c r="N12" s="180">
        <v>0</v>
      </c>
      <c r="O12" s="180">
        <v>0</v>
      </c>
      <c r="P12" s="180">
        <v>0</v>
      </c>
      <c r="Q12" s="420">
        <v>0</v>
      </c>
      <c r="R12" s="436"/>
    </row>
    <row r="13" spans="2:18" ht="19.5" customHeight="1" thickBot="1">
      <c r="B13" s="21"/>
      <c r="C13" s="276" t="s">
        <v>86</v>
      </c>
      <c r="D13" s="277"/>
      <c r="E13" s="278"/>
      <c r="F13" s="279">
        <f>F12+F10+F8</f>
        <v>6.22975</v>
      </c>
      <c r="G13" s="279">
        <f aca="true" t="shared" si="0" ref="G13:L13">G12+G10+G8</f>
        <v>672.25</v>
      </c>
      <c r="H13" s="279">
        <f t="shared" si="0"/>
        <v>859.1210000000001</v>
      </c>
      <c r="I13" s="279">
        <f t="shared" si="0"/>
        <v>16.212870000000002</v>
      </c>
      <c r="J13" s="279">
        <f t="shared" si="0"/>
        <v>12.17434</v>
      </c>
      <c r="K13" s="279">
        <f t="shared" si="0"/>
        <v>11.833458480000001</v>
      </c>
      <c r="L13" s="279">
        <f t="shared" si="0"/>
        <v>7.085465880000001</v>
      </c>
      <c r="M13" s="280"/>
      <c r="N13" s="281"/>
      <c r="O13" s="281"/>
      <c r="P13" s="281"/>
      <c r="Q13" s="421">
        <f>Q12+Q10+Q8</f>
        <v>670723.6286543626</v>
      </c>
      <c r="R13" s="437"/>
    </row>
    <row r="14" spans="2:18" s="147" customFormat="1" ht="9.75" customHeight="1" thickBot="1" thickTop="1">
      <c r="B14" s="552"/>
      <c r="C14" s="295"/>
      <c r="D14" s="295"/>
      <c r="E14" s="296"/>
      <c r="F14" s="297"/>
      <c r="G14" s="297"/>
      <c r="H14" s="297"/>
      <c r="I14" s="297"/>
      <c r="J14" s="297"/>
      <c r="K14" s="297"/>
      <c r="L14" s="297"/>
      <c r="M14" s="298"/>
      <c r="N14" s="299"/>
      <c r="O14" s="299"/>
      <c r="P14" s="299"/>
      <c r="Q14" s="297"/>
      <c r="R14" s="552"/>
    </row>
    <row r="15" spans="2:18" ht="1.5" customHeight="1" thickTop="1">
      <c r="B15" s="14"/>
      <c r="C15" s="292"/>
      <c r="D15" s="292"/>
      <c r="E15" s="292"/>
      <c r="F15" s="139"/>
      <c r="G15" s="139"/>
      <c r="H15" s="139"/>
      <c r="I15" s="139"/>
      <c r="J15" s="139"/>
      <c r="K15" s="139"/>
      <c r="L15" s="139"/>
      <c r="M15" s="101"/>
      <c r="N15" s="141"/>
      <c r="O15" s="141"/>
      <c r="P15" s="141"/>
      <c r="Q15" s="141"/>
      <c r="R15" s="436"/>
    </row>
    <row r="16" spans="2:18" s="32" customFormat="1" ht="19.5" customHeight="1">
      <c r="B16" s="33"/>
      <c r="C16" s="34"/>
      <c r="D16" s="34"/>
      <c r="E16" s="293" t="s">
        <v>49</v>
      </c>
      <c r="F16" s="40" t="s">
        <v>145</v>
      </c>
      <c r="G16" s="40" t="s">
        <v>8</v>
      </c>
      <c r="H16" s="40" t="s">
        <v>3</v>
      </c>
      <c r="I16" s="40" t="s">
        <v>50</v>
      </c>
      <c r="J16" s="40" t="s">
        <v>70</v>
      </c>
      <c r="K16" s="40" t="s">
        <v>68</v>
      </c>
      <c r="L16" s="92" t="s">
        <v>69</v>
      </c>
      <c r="M16" s="98"/>
      <c r="N16" s="93" t="s">
        <v>38</v>
      </c>
      <c r="O16" s="40" t="s">
        <v>39</v>
      </c>
      <c r="P16" s="40" t="s">
        <v>40</v>
      </c>
      <c r="Q16" s="92" t="s">
        <v>66</v>
      </c>
      <c r="R16" s="435"/>
    </row>
    <row r="17" spans="2:18" s="32" customFormat="1" ht="3.75" customHeight="1" thickBot="1">
      <c r="B17" s="282"/>
      <c r="C17" s="34"/>
      <c r="D17" s="34"/>
      <c r="E17" s="35"/>
      <c r="F17" s="169"/>
      <c r="G17" s="169"/>
      <c r="H17" s="169"/>
      <c r="I17" s="169"/>
      <c r="J17" s="169"/>
      <c r="K17" s="169"/>
      <c r="L17" s="170"/>
      <c r="M17" s="99"/>
      <c r="N17" s="171"/>
      <c r="O17" s="169"/>
      <c r="P17" s="169"/>
      <c r="Q17" s="170"/>
      <c r="R17" s="435"/>
    </row>
    <row r="18" spans="2:18" ht="19.5" customHeight="1">
      <c r="B18" s="14"/>
      <c r="C18" s="302" t="s">
        <v>54</v>
      </c>
      <c r="D18" s="303"/>
      <c r="E18" s="304"/>
      <c r="F18" s="174" t="s">
        <v>26</v>
      </c>
      <c r="G18" s="174" t="s">
        <v>26</v>
      </c>
      <c r="H18" s="174" t="s">
        <v>26</v>
      </c>
      <c r="I18" s="174" t="s">
        <v>26</v>
      </c>
      <c r="J18" s="174" t="s">
        <v>26</v>
      </c>
      <c r="K18" s="174" t="s">
        <v>26</v>
      </c>
      <c r="L18" s="174" t="s">
        <v>26</v>
      </c>
      <c r="M18" s="175"/>
      <c r="N18" s="174" t="s">
        <v>26</v>
      </c>
      <c r="O18" s="174" t="s">
        <v>26</v>
      </c>
      <c r="P18" s="174" t="s">
        <v>26</v>
      </c>
      <c r="Q18" s="418" t="s">
        <v>26</v>
      </c>
      <c r="R18" s="436"/>
    </row>
    <row r="19" spans="2:18" s="32" customFormat="1" ht="19.5" customHeight="1">
      <c r="B19" s="33"/>
      <c r="C19" s="188" t="s">
        <v>100</v>
      </c>
      <c r="D19" s="214" t="s">
        <v>129</v>
      </c>
      <c r="E19" s="217"/>
      <c r="F19" s="451" t="s">
        <v>140</v>
      </c>
      <c r="G19" s="452"/>
      <c r="H19" s="453"/>
      <c r="I19" s="454">
        <f>'Calculations production'!L33</f>
        <v>720000</v>
      </c>
      <c r="J19" s="455" t="s">
        <v>141</v>
      </c>
      <c r="K19" s="456"/>
      <c r="L19" s="457"/>
      <c r="M19" s="101"/>
      <c r="N19" s="129"/>
      <c r="O19" s="129"/>
      <c r="P19" s="129"/>
      <c r="Q19" s="129"/>
      <c r="R19" s="435"/>
    </row>
    <row r="20" spans="2:18" ht="19.5" customHeight="1">
      <c r="B20" s="14"/>
      <c r="C20" s="613" t="s">
        <v>167</v>
      </c>
      <c r="D20" s="614"/>
      <c r="E20" s="615"/>
      <c r="F20" s="539">
        <f>(1+'EF EF'!D10)*'Summary-PSD'!F8</f>
        <v>0.2135611111111111</v>
      </c>
      <c r="G20" s="190">
        <f>(1+'EF EF'!E10)*'Summary-PSD'!G8</f>
        <v>269.15204678362574</v>
      </c>
      <c r="H20" s="190">
        <f>(1+'EF EF'!F10)*'Summary-PSD'!H8</f>
        <v>310.4237031454783</v>
      </c>
      <c r="I20" s="539">
        <f>(1+'EF EF'!G10)*'Summary-PSD'!I8</f>
        <v>7.659676470588235</v>
      </c>
      <c r="J20" s="539">
        <f>(1+'EF EF'!$H10)*'Summary-PSD'!J8</f>
        <v>1.8190512000000005</v>
      </c>
      <c r="K20" s="539">
        <f>(1+'EF EF'!$H10)*'Summary-PSD'!K8</f>
        <v>1.7681177664000003</v>
      </c>
      <c r="L20" s="539">
        <f>(1+'EF EF'!$H10)*'Summary-PSD'!L8</f>
        <v>1.0586877984000003</v>
      </c>
      <c r="M20" s="449"/>
      <c r="N20" s="192" t="e">
        <f>#REF!</f>
        <v>#REF!</v>
      </c>
      <c r="O20" s="193" t="e">
        <f>#REF!</f>
        <v>#REF!</v>
      </c>
      <c r="P20" s="193" t="e">
        <f>#REF!</f>
        <v>#REF!</v>
      </c>
      <c r="Q20" s="422" t="e">
        <f aca="true" t="shared" si="1" ref="Q20:Q27">N20+O20*25+P20*310</f>
        <v>#REF!</v>
      </c>
      <c r="R20" s="436"/>
    </row>
    <row r="21" spans="2:18" ht="19.5" customHeight="1">
      <c r="B21" s="14"/>
      <c r="C21" s="604" t="s">
        <v>168</v>
      </c>
      <c r="D21" s="605"/>
      <c r="E21" s="606"/>
      <c r="F21" s="551">
        <f>(1+'TDF EF'!D10)*'Summary-PSD'!F8</f>
        <v>0.14605243161094225</v>
      </c>
      <c r="G21" s="184">
        <f>(1+'TDF EF'!E10)*'Summary-PSD'!G8</f>
        <v>221.1220866715222</v>
      </c>
      <c r="H21" s="184">
        <f>(1+'TDF EF'!F10)*'Summary-PSD'!H8</f>
        <v>272.79060747139334</v>
      </c>
      <c r="I21" s="551">
        <f>(1+'TDF EF'!G10)*'Summary-PSD'!I8</f>
        <v>4.6668018537590115</v>
      </c>
      <c r="J21" s="551">
        <f>(1+'TDF EF'!$H10)*'Summary-PSD'!J8</f>
        <v>4.554915865384616</v>
      </c>
      <c r="K21" s="551">
        <f>(1+'TDF EF'!$H10)*'Summary-PSD'!K8</f>
        <v>4.427378221153846</v>
      </c>
      <c r="L21" s="551">
        <f>(1+'TDF EF'!$H10)*'Summary-PSD'!L8</f>
        <v>2.6509610336538465</v>
      </c>
      <c r="M21" s="449"/>
      <c r="N21" s="192" t="e">
        <f>#REF!</f>
        <v>#REF!</v>
      </c>
      <c r="O21" s="193" t="e">
        <f>#REF!</f>
        <v>#REF!</v>
      </c>
      <c r="P21" s="193" t="e">
        <f>#REF!</f>
        <v>#REF!</v>
      </c>
      <c r="Q21" s="422" t="e">
        <f t="shared" si="1"/>
        <v>#REF!</v>
      </c>
      <c r="R21" s="436"/>
    </row>
    <row r="22" spans="2:18" s="147" customFormat="1" ht="19.5" customHeight="1">
      <c r="B22" s="14"/>
      <c r="C22" s="604" t="s">
        <v>172</v>
      </c>
      <c r="D22" s="605"/>
      <c r="E22" s="606"/>
      <c r="F22" s="551">
        <f>(1+'Roof EF'!D10)*'Summary-PSD'!F8</f>
        <v>0.7879263382283278</v>
      </c>
      <c r="G22" s="184">
        <f>(1+'Roof EF'!E10)*'Summary-PSD'!G8</f>
        <v>348.26324194836303</v>
      </c>
      <c r="H22" s="554">
        <f>(1+'Roof EF'!F10)*'Summary-PSD'!H8</f>
        <v>266.83653</v>
      </c>
      <c r="I22" s="555">
        <f>(1+'Roof EF'!G10)*'Summary-PSD'!I8</f>
        <v>10.248050259740259</v>
      </c>
      <c r="J22" s="555">
        <f>(1+'Roof EF'!$H10)*'Summary-PSD'!J8</f>
        <v>8.138116346153847</v>
      </c>
      <c r="K22" s="555">
        <f>(1+'Roof EF'!$H10)*'Summary-PSD'!K8</f>
        <v>7.910249088461539</v>
      </c>
      <c r="L22" s="555">
        <f>(1+'Roof EF'!$H10)*'Summary-PSD'!L8</f>
        <v>4.73638371346154</v>
      </c>
      <c r="M22" s="449"/>
      <c r="N22" s="192" t="e">
        <f>#REF!</f>
        <v>#REF!</v>
      </c>
      <c r="O22" s="193" t="e">
        <f>#REF!</f>
        <v>#REF!</v>
      </c>
      <c r="P22" s="193" t="e">
        <f>#REF!</f>
        <v>#REF!</v>
      </c>
      <c r="Q22" s="422" t="e">
        <f t="shared" si="1"/>
        <v>#REF!</v>
      </c>
      <c r="R22" s="436"/>
    </row>
    <row r="23" spans="2:18" ht="19.5" customHeight="1">
      <c r="B23" s="14"/>
      <c r="C23" s="604" t="s">
        <v>169</v>
      </c>
      <c r="D23" s="605"/>
      <c r="E23" s="606"/>
      <c r="F23" s="551">
        <f>(1+'PL EF'!D10)*'Summary-PSD'!F8</f>
        <v>0.34290512048192767</v>
      </c>
      <c r="G23" s="184">
        <f>(1+'PL EF'!E10)*'Summary-PSD'!G8</f>
        <v>204.96141975308643</v>
      </c>
      <c r="H23" s="554">
        <f>(1+'PL EF'!F10)*'Summary-PSD'!H8</f>
        <v>103.47970491803277</v>
      </c>
      <c r="I23" s="556" t="s">
        <v>0</v>
      </c>
      <c r="J23" s="555">
        <f>(1+'PL EF'!$H10)*'Summary-PSD'!J8</f>
        <v>7.4522867378048785</v>
      </c>
      <c r="K23" s="555">
        <f>(1+'PL EF'!$H10)*'Summary-PSD'!K8</f>
        <v>7.243622709146342</v>
      </c>
      <c r="L23" s="555">
        <f>(1+'PL EF'!$H10)*'Summary-PSD'!L8</f>
        <v>4.33723088140244</v>
      </c>
      <c r="M23" s="449"/>
      <c r="N23" s="192" t="e">
        <f>#REF!</f>
        <v>#REF!</v>
      </c>
      <c r="O23" s="193" t="e">
        <f>#REF!</f>
        <v>#REF!</v>
      </c>
      <c r="P23" s="193" t="e">
        <f>#REF!</f>
        <v>#REF!</v>
      </c>
      <c r="Q23" s="422" t="e">
        <f t="shared" si="1"/>
        <v>#REF!</v>
      </c>
      <c r="R23" s="436"/>
    </row>
    <row r="24" spans="2:18" s="147" customFormat="1" ht="19.5" customHeight="1">
      <c r="B24" s="14"/>
      <c r="C24" s="569"/>
      <c r="D24" s="570"/>
      <c r="E24" s="571" t="s">
        <v>173</v>
      </c>
      <c r="F24" s="551">
        <f>(1+'AB EF'!D10)*'Summary-PSD'!F8</f>
        <v>0.5610872017657561</v>
      </c>
      <c r="G24" s="184">
        <f>(1+'AB EF'!E10)*'Summary-PSD'!G8</f>
        <v>250.32874303094147</v>
      </c>
      <c r="H24" s="554">
        <f>(1+'AB EF'!F10)*'Summary-PSD'!H8</f>
        <v>297.6224129943703</v>
      </c>
      <c r="I24" s="555">
        <f>(1+'AB EF'!G10)*'Summary-PSD'!I8</f>
        <v>9.261924112036487</v>
      </c>
      <c r="J24" s="556" t="s">
        <v>0</v>
      </c>
      <c r="K24" s="556" t="s">
        <v>0</v>
      </c>
      <c r="L24" s="556" t="s">
        <v>0</v>
      </c>
      <c r="M24" s="449"/>
      <c r="N24" s="192" t="e">
        <f>#REF!</f>
        <v>#REF!</v>
      </c>
      <c r="O24" s="193" t="e">
        <f>#REF!</f>
        <v>#REF!</v>
      </c>
      <c r="P24" s="193" t="e">
        <f>#REF!</f>
        <v>#REF!</v>
      </c>
      <c r="Q24" s="422" t="e">
        <f t="shared" si="1"/>
        <v>#REF!</v>
      </c>
      <c r="R24" s="436"/>
    </row>
    <row r="25" spans="2:18" s="147" customFormat="1" ht="19.5" customHeight="1">
      <c r="B25" s="14"/>
      <c r="C25" s="569"/>
      <c r="D25" s="570"/>
      <c r="E25" s="571" t="s">
        <v>204</v>
      </c>
      <c r="F25" s="551">
        <f>(1+'WB EF'!D10)*'Summary-PSD'!F8</f>
        <v>0.5610872017657561</v>
      </c>
      <c r="G25" s="184">
        <f>(1+'WB EF'!E10)*'Summary-PSD'!G8</f>
        <v>250.32874303094147</v>
      </c>
      <c r="H25" s="554">
        <f>(1+'WB EF'!F10)*'Summary-PSD'!H8</f>
        <v>297.6224129943703</v>
      </c>
      <c r="I25" s="555">
        <f>(1+'WB EF'!G10)*'Summary-PSD'!I8</f>
        <v>9.261924112036487</v>
      </c>
      <c r="J25" s="556" t="s">
        <v>0</v>
      </c>
      <c r="K25" s="556" t="s">
        <v>0</v>
      </c>
      <c r="L25" s="556" t="s">
        <v>0</v>
      </c>
      <c r="M25" s="449"/>
      <c r="N25" s="192" t="e">
        <f>#REF!</f>
        <v>#REF!</v>
      </c>
      <c r="O25" s="193" t="e">
        <f>#REF!</f>
        <v>#REF!</v>
      </c>
      <c r="P25" s="193" t="e">
        <f>#REF!</f>
        <v>#REF!</v>
      </c>
      <c r="Q25" s="422" t="e">
        <f t="shared" si="1"/>
        <v>#REF!</v>
      </c>
      <c r="R25" s="436"/>
    </row>
    <row r="26" spans="2:18" s="147" customFormat="1" ht="19.5" customHeight="1">
      <c r="B26" s="14"/>
      <c r="C26" s="604" t="s">
        <v>170</v>
      </c>
      <c r="D26" s="605"/>
      <c r="E26" s="606"/>
      <c r="F26" s="551">
        <f>(1+'CDF EF'!D10)*'Summary-PSD'!F8</f>
        <v>0.34290512048192767</v>
      </c>
      <c r="G26" s="184">
        <f>(1+'CDF EF'!E10)*'Summary-PSD'!G8</f>
        <v>204.96141975308643</v>
      </c>
      <c r="H26" s="554">
        <f>(1+'CDF EF'!F10)*'Summary-PSD'!H8</f>
        <v>103.47970491803277</v>
      </c>
      <c r="I26" s="556" t="s">
        <v>0</v>
      </c>
      <c r="J26" s="555">
        <f>(1+'CDF EF'!$H10)*'Summary-PSD'!J8</f>
        <v>7.4522867378048785</v>
      </c>
      <c r="K26" s="555">
        <f>(1+'CDF EF'!$H10)*'Summary-PSD'!K8</f>
        <v>7.243622709146342</v>
      </c>
      <c r="L26" s="555">
        <f>(1+'CDF EF'!$H10)*'Summary-PSD'!L8</f>
        <v>4.33723088140244</v>
      </c>
      <c r="M26" s="449"/>
      <c r="N26" s="192" t="e">
        <f>#REF!</f>
        <v>#REF!</v>
      </c>
      <c r="O26" s="193" t="e">
        <f>#REF!</f>
        <v>#REF!</v>
      </c>
      <c r="P26" s="193" t="e">
        <f>#REF!</f>
        <v>#REF!</v>
      </c>
      <c r="Q26" s="422" t="e">
        <f t="shared" si="1"/>
        <v>#REF!</v>
      </c>
      <c r="R26" s="436"/>
    </row>
    <row r="27" spans="2:18" ht="19.5" customHeight="1">
      <c r="B27" s="14"/>
      <c r="C27" s="604" t="s">
        <v>174</v>
      </c>
      <c r="D27" s="605"/>
      <c r="E27" s="606"/>
      <c r="F27" s="553">
        <f>(1+'PB EF'!D10)*'Summary-PSD'!F8</f>
        <v>0.6366642800803258</v>
      </c>
      <c r="G27" s="554">
        <f>(1+'PB EF'!E10)*'Summary-PSD'!G8</f>
        <v>321.64107919888386</v>
      </c>
      <c r="H27" s="554">
        <f>(1+'PB EF'!F10)*'Summary-PSD'!H8</f>
        <v>312.2619775335045</v>
      </c>
      <c r="I27" s="553">
        <f>(1+'PB EF'!G10)*'Summary-PSD'!I8</f>
        <v>6.229514031459082</v>
      </c>
      <c r="J27" s="553">
        <f>(1+'PB EF'!H10)*'Summary-PSD'!J8</f>
        <v>5.890000120481928</v>
      </c>
      <c r="K27" s="553">
        <f>(1+'PB EF'!I10)*'Summary-PSD'!K8</f>
        <v>5.52536802</v>
      </c>
      <c r="L27" s="553">
        <f>(1+'PB EF'!J10)*'Summary-PSD'!L8</f>
        <v>3.3083993700000005</v>
      </c>
      <c r="M27" s="449"/>
      <c r="N27" s="194" t="e">
        <f>#REF!</f>
        <v>#REF!</v>
      </c>
      <c r="O27" s="193" t="e">
        <f>#REF!</f>
        <v>#REF!</v>
      </c>
      <c r="P27" s="193" t="e">
        <f>#REF!</f>
        <v>#REF!</v>
      </c>
      <c r="Q27" s="422" t="e">
        <f t="shared" si="1"/>
        <v>#REF!</v>
      </c>
      <c r="R27" s="436"/>
    </row>
    <row r="28" spans="2:18" s="147" customFormat="1" ht="19.5" customHeight="1">
      <c r="B28" s="14"/>
      <c r="C28" s="300"/>
      <c r="D28" s="140" t="s">
        <v>192</v>
      </c>
      <c r="E28" s="217"/>
      <c r="F28" s="284">
        <f>MAX(F20:F27)</f>
        <v>0.7879263382283278</v>
      </c>
      <c r="G28" s="284">
        <f aca="true" t="shared" si="2" ref="G28:L28">MAX(G20:G27)</f>
        <v>348.26324194836303</v>
      </c>
      <c r="H28" s="557">
        <f t="shared" si="2"/>
        <v>312.2619775335045</v>
      </c>
      <c r="I28" s="557">
        <f t="shared" si="2"/>
        <v>10.248050259740259</v>
      </c>
      <c r="J28" s="557">
        <f t="shared" si="2"/>
        <v>8.138116346153847</v>
      </c>
      <c r="K28" s="557">
        <f t="shared" si="2"/>
        <v>7.910249088461539</v>
      </c>
      <c r="L28" s="557">
        <f t="shared" si="2"/>
        <v>4.73638371346154</v>
      </c>
      <c r="M28" s="449"/>
      <c r="N28" s="194"/>
      <c r="O28" s="193"/>
      <c r="P28" s="193"/>
      <c r="Q28" s="422"/>
      <c r="R28" s="436"/>
    </row>
    <row r="29" spans="2:18" s="147" customFormat="1" ht="19.5" customHeight="1">
      <c r="B29" s="14"/>
      <c r="C29" s="300" t="s">
        <v>171</v>
      </c>
      <c r="D29" s="140"/>
      <c r="E29" s="217"/>
      <c r="F29" s="335">
        <f aca="true" t="shared" si="3" ref="F29:L29">F8*$I$19/$I$7</f>
        <v>1.6397942632155385</v>
      </c>
      <c r="G29" s="284">
        <f t="shared" si="3"/>
        <v>729.2287643315634</v>
      </c>
      <c r="H29" s="557">
        <f t="shared" si="3"/>
        <v>636.444247272324</v>
      </c>
      <c r="I29" s="557">
        <f t="shared" si="3"/>
        <v>17.33040163036697</v>
      </c>
      <c r="J29" s="557">
        <f t="shared" si="3"/>
        <v>12.609357973686764</v>
      </c>
      <c r="K29" s="557">
        <f t="shared" si="3"/>
        <v>12.256295950423535</v>
      </c>
      <c r="L29" s="557">
        <f t="shared" si="3"/>
        <v>7.338646340685698</v>
      </c>
      <c r="M29" s="450"/>
      <c r="N29" s="288">
        <f>N8*$I$19/$I$7</f>
        <v>731931.9571335488</v>
      </c>
      <c r="O29" s="284">
        <f>O8*$I$19/$I$7</f>
        <v>24.121401339230015</v>
      </c>
      <c r="P29" s="284">
        <f>P8*$I$19/$I$7</f>
        <v>3.709667319499505</v>
      </c>
      <c r="Q29" s="423">
        <f>Q8*$I$19/$I$7</f>
        <v>733684.9890360745</v>
      </c>
      <c r="R29" s="436"/>
    </row>
    <row r="30" spans="2:18" s="147" customFormat="1" ht="11.25" customHeight="1">
      <c r="B30" s="14"/>
      <c r="C30" s="461"/>
      <c r="D30" s="292"/>
      <c r="E30" s="292"/>
      <c r="F30" s="462"/>
      <c r="G30" s="463"/>
      <c r="H30" s="558"/>
      <c r="I30" s="558"/>
      <c r="J30" s="558"/>
      <c r="K30" s="558"/>
      <c r="L30" s="558"/>
      <c r="M30" s="458"/>
      <c r="N30" s="459"/>
      <c r="O30" s="460"/>
      <c r="P30" s="460"/>
      <c r="Q30" s="459"/>
      <c r="R30" s="436"/>
    </row>
    <row r="31" spans="2:18" s="32" customFormat="1" ht="19.5" customHeight="1">
      <c r="B31" s="33"/>
      <c r="C31" s="464" t="s">
        <v>100</v>
      </c>
      <c r="D31" s="465" t="s">
        <v>131</v>
      </c>
      <c r="E31" s="568"/>
      <c r="F31" s="451" t="s">
        <v>140</v>
      </c>
      <c r="G31" s="466"/>
      <c r="H31" s="559"/>
      <c r="I31" s="560">
        <f>'Calculations production'!Z33</f>
        <v>985500</v>
      </c>
      <c r="J31" s="561" t="s">
        <v>141</v>
      </c>
      <c r="K31" s="562"/>
      <c r="L31" s="563"/>
      <c r="M31" s="101"/>
      <c r="N31" s="129"/>
      <c r="O31" s="129"/>
      <c r="P31" s="129"/>
      <c r="Q31" s="129"/>
      <c r="R31" s="435"/>
    </row>
    <row r="32" spans="2:18" s="147" customFormat="1" ht="19.5" customHeight="1">
      <c r="B32" s="14"/>
      <c r="C32" s="613" t="s">
        <v>167</v>
      </c>
      <c r="D32" s="614"/>
      <c r="E32" s="615"/>
      <c r="F32" s="539">
        <f>(1+'EF EF'!D10)*'Summary-PSD'!F10</f>
        <v>1.5861444444444444</v>
      </c>
      <c r="G32" s="190">
        <f>(1+'EF EF'!E10)*'Summary-PSD'!G10</f>
        <v>281.2280701754386</v>
      </c>
      <c r="H32" s="564">
        <f>(1+'EF EF'!F10)*'Summary-PSD'!H10</f>
        <v>619.0709043250328</v>
      </c>
      <c r="I32" s="565">
        <f>(1+'EF EF'!G10)*'Summary-PSD'!I10</f>
        <v>8.235294117647058</v>
      </c>
      <c r="J32" s="565">
        <f>(1+'EF EF'!$H10)*'Summary-PSD'!J10</f>
        <v>2.0767376000000004</v>
      </c>
      <c r="K32" s="565">
        <f>(1+'EF EF'!$H10)*'Summary-PSD'!K10</f>
        <v>2.0185889472000005</v>
      </c>
      <c r="L32" s="565">
        <f>(1+'EF EF'!$H10)*'Summary-PSD'!L10</f>
        <v>1.2086612832000003</v>
      </c>
      <c r="M32" s="191"/>
      <c r="N32" s="192" t="e">
        <f>#REF!</f>
        <v>#REF!</v>
      </c>
      <c r="O32" s="193" t="e">
        <f>#REF!</f>
        <v>#REF!</v>
      </c>
      <c r="P32" s="193" t="e">
        <f>#REF!</f>
        <v>#REF!</v>
      </c>
      <c r="Q32" s="422" t="e">
        <f aca="true" t="shared" si="4" ref="Q32:Q39">N32+O32*25+P32*310</f>
        <v>#REF!</v>
      </c>
      <c r="R32" s="436"/>
    </row>
    <row r="33" spans="2:18" s="147" customFormat="1" ht="19.5" customHeight="1">
      <c r="B33" s="14"/>
      <c r="C33" s="604" t="s">
        <v>168</v>
      </c>
      <c r="D33" s="605"/>
      <c r="E33" s="606"/>
      <c r="F33" s="551">
        <f>(1+'TDF EF'!D10)*'Summary-PSD'!F10</f>
        <v>1.0847492401215806</v>
      </c>
      <c r="G33" s="184">
        <f>(1+'TDF EF'!E10)*'Summary-PSD'!G10</f>
        <v>231.04315367807718</v>
      </c>
      <c r="H33" s="554">
        <f>(1+'TDF EF'!F10)*'Summary-PSD'!H10</f>
        <v>544.0200807718197</v>
      </c>
      <c r="I33" s="553">
        <f>(1+'TDF EF'!G10)*'Summary-PSD'!I10</f>
        <v>5.017507723995881</v>
      </c>
      <c r="J33" s="553">
        <f>(1+'TDF EF'!$H10)*'Summary-PSD'!J10</f>
        <v>5.200164262820514</v>
      </c>
      <c r="K33" s="553">
        <f>(1+'TDF EF'!$H10)*'Summary-PSD'!K10</f>
        <v>5.054559663461538</v>
      </c>
      <c r="L33" s="553">
        <f>(1+'TDF EF'!$H10)*'Summary-PSD'!L10</f>
        <v>3.026495600961539</v>
      </c>
      <c r="M33" s="191"/>
      <c r="N33" s="192" t="e">
        <f>#REF!</f>
        <v>#REF!</v>
      </c>
      <c r="O33" s="193" t="e">
        <f>#REF!</f>
        <v>#REF!</v>
      </c>
      <c r="P33" s="193" t="e">
        <f>#REF!</f>
        <v>#REF!</v>
      </c>
      <c r="Q33" s="422" t="e">
        <f t="shared" si="4"/>
        <v>#REF!</v>
      </c>
      <c r="R33" s="436"/>
    </row>
    <row r="34" spans="2:18" s="147" customFormat="1" ht="19.5" customHeight="1">
      <c r="B34" s="14"/>
      <c r="C34" s="604" t="s">
        <v>172</v>
      </c>
      <c r="D34" s="605"/>
      <c r="E34" s="606"/>
      <c r="F34" s="551">
        <f>(1+'Roof EF'!D10)*'Summary-PSD'!F10</f>
        <v>5.852025106584557</v>
      </c>
      <c r="G34" s="184">
        <f>(1+'Roof EF'!E10)*'Summary-PSD'!G10</f>
        <v>363.8887410167687</v>
      </c>
      <c r="H34" s="554">
        <f>(1+'Roof EF'!F10)*'Summary-PSD'!H10</f>
        <v>532.1460000000001</v>
      </c>
      <c r="I34" s="553">
        <f>(1+'Roof EF'!G10)*'Summary-PSD'!I10</f>
        <v>11.018181818181818</v>
      </c>
      <c r="J34" s="553">
        <f>(1+'Roof EF'!$H10)*'Summary-PSD'!J10</f>
        <v>9.290960149572651</v>
      </c>
      <c r="K34" s="553">
        <f>(1+'Roof EF'!$H10)*'Summary-PSD'!K10</f>
        <v>9.030813265384616</v>
      </c>
      <c r="L34" s="553">
        <f>(1+'Roof EF'!$H10)*'Summary-PSD'!L10</f>
        <v>5.407338807051283</v>
      </c>
      <c r="M34" s="191"/>
      <c r="N34" s="192" t="e">
        <f>#REF!</f>
        <v>#REF!</v>
      </c>
      <c r="O34" s="193" t="e">
        <f>#REF!</f>
        <v>#REF!</v>
      </c>
      <c r="P34" s="193" t="e">
        <f>#REF!</f>
        <v>#REF!</v>
      </c>
      <c r="Q34" s="422" t="e">
        <f t="shared" si="4"/>
        <v>#REF!</v>
      </c>
      <c r="R34" s="436"/>
    </row>
    <row r="35" spans="2:18" s="147" customFormat="1" ht="19.5" customHeight="1">
      <c r="B35" s="14"/>
      <c r="C35" s="604" t="s">
        <v>169</v>
      </c>
      <c r="D35" s="605"/>
      <c r="E35" s="606"/>
      <c r="F35" s="551">
        <f>(1+'PL EF'!D10)*'Summary-PSD'!F10</f>
        <v>2.5467981927710843</v>
      </c>
      <c r="G35" s="184">
        <f>(1+'PL EF'!E10)*'Summary-PSD'!G10</f>
        <v>214.15740740740742</v>
      </c>
      <c r="H35" s="554">
        <f>(1+'PL EF'!F10)*'Summary-PSD'!H10</f>
        <v>206.3672131147541</v>
      </c>
      <c r="I35" s="566" t="s">
        <v>0</v>
      </c>
      <c r="J35" s="553">
        <f>(1+'PL EF'!$H10)*'Summary-PSD'!J10</f>
        <v>8.507976067073171</v>
      </c>
      <c r="K35" s="553">
        <f>(1+'PL EF'!$H10)*'Summary-PSD'!K10</f>
        <v>8.269752737195121</v>
      </c>
      <c r="L35" s="553">
        <f>(1+'PL EF'!$H10)*'Summary-PSD'!L10</f>
        <v>4.951642071036586</v>
      </c>
      <c r="M35" s="191"/>
      <c r="N35" s="192" t="e">
        <f>#REF!</f>
        <v>#REF!</v>
      </c>
      <c r="O35" s="193" t="e">
        <f>#REF!</f>
        <v>#REF!</v>
      </c>
      <c r="P35" s="193" t="e">
        <f>#REF!</f>
        <v>#REF!</v>
      </c>
      <c r="Q35" s="422" t="e">
        <f t="shared" si="4"/>
        <v>#REF!</v>
      </c>
      <c r="R35" s="436"/>
    </row>
    <row r="36" spans="2:18" s="147" customFormat="1" ht="19.5" customHeight="1">
      <c r="B36" s="14"/>
      <c r="C36" s="569"/>
      <c r="D36" s="570"/>
      <c r="E36" s="571" t="s">
        <v>173</v>
      </c>
      <c r="F36" s="551">
        <f>(1+'AB EF'!D10)*'Summary-PSD'!F10</f>
        <v>4.167263146831091</v>
      </c>
      <c r="G36" s="184">
        <f>(1+'AB EF'!E10)*'Summary-PSD'!G10</f>
        <v>261.5602227562841</v>
      </c>
      <c r="H36" s="554">
        <f>(1+'AB EF'!F10)*'Summary-PSD'!H10</f>
        <v>593.5415836253836</v>
      </c>
      <c r="I36" s="553">
        <f>(1+'AB EF'!G10)*'Summary-PSD'!I10</f>
        <v>9.957949196787672</v>
      </c>
      <c r="J36" s="567" t="s">
        <v>0</v>
      </c>
      <c r="K36" s="567" t="s">
        <v>0</v>
      </c>
      <c r="L36" s="567" t="s">
        <v>0</v>
      </c>
      <c r="M36" s="191"/>
      <c r="N36" s="192" t="e">
        <f>#REF!</f>
        <v>#REF!</v>
      </c>
      <c r="O36" s="193" t="e">
        <f>#REF!</f>
        <v>#REF!</v>
      </c>
      <c r="P36" s="193" t="e">
        <f>#REF!</f>
        <v>#REF!</v>
      </c>
      <c r="Q36" s="422" t="e">
        <f t="shared" si="4"/>
        <v>#REF!</v>
      </c>
      <c r="R36" s="436"/>
    </row>
    <row r="37" spans="2:18" s="147" customFormat="1" ht="19.5" customHeight="1">
      <c r="B37" s="14"/>
      <c r="C37" s="569"/>
      <c r="D37" s="570"/>
      <c r="E37" s="571" t="s">
        <v>204</v>
      </c>
      <c r="F37" s="551">
        <f>(1+'WB EF'!D10)*'Summary-PSD'!F10</f>
        <v>4.167263146831091</v>
      </c>
      <c r="G37" s="184">
        <f>(1+'WB EF'!E10)*'Summary-PSD'!G10</f>
        <v>261.5602227562841</v>
      </c>
      <c r="H37" s="554">
        <f>(1+'WB EF'!F10)*'Summary-PSD'!H10</f>
        <v>593.5415836253836</v>
      </c>
      <c r="I37" s="553">
        <f>(1+'WB EF'!G10)*'Summary-PSD'!I10</f>
        <v>9.957949196787672</v>
      </c>
      <c r="J37" s="567" t="s">
        <v>0</v>
      </c>
      <c r="K37" s="567" t="s">
        <v>0</v>
      </c>
      <c r="L37" s="567" t="s">
        <v>0</v>
      </c>
      <c r="M37" s="191"/>
      <c r="N37" s="192" t="e">
        <f>#REF!</f>
        <v>#REF!</v>
      </c>
      <c r="O37" s="193" t="e">
        <f>#REF!</f>
        <v>#REF!</v>
      </c>
      <c r="P37" s="193" t="e">
        <f>#REF!</f>
        <v>#REF!</v>
      </c>
      <c r="Q37" s="422" t="e">
        <f t="shared" si="4"/>
        <v>#REF!</v>
      </c>
      <c r="R37" s="436"/>
    </row>
    <row r="38" spans="2:18" s="147" customFormat="1" ht="19.5" customHeight="1">
      <c r="B38" s="14"/>
      <c r="C38" s="604" t="s">
        <v>170</v>
      </c>
      <c r="D38" s="605"/>
      <c r="E38" s="606"/>
      <c r="F38" s="551">
        <f>(1+'CDF EF'!D10)*'Summary-PSD'!F10</f>
        <v>2.5467981927710843</v>
      </c>
      <c r="G38" s="184">
        <f>(1+'CDF EF'!E10)*'Summary-PSD'!G10</f>
        <v>214.15740740740742</v>
      </c>
      <c r="H38" s="554">
        <f>(1+'CDF EF'!F10)*'Summary-PSD'!H10</f>
        <v>206.3672131147541</v>
      </c>
      <c r="I38" s="567" t="s">
        <v>0</v>
      </c>
      <c r="J38" s="553">
        <f>(1+'CDF EF'!$H10)*'Summary-PSD'!J10</f>
        <v>8.507976067073171</v>
      </c>
      <c r="K38" s="553">
        <f>(1+'CDF EF'!$H10)*'Summary-PSD'!K10</f>
        <v>8.269752737195121</v>
      </c>
      <c r="L38" s="553">
        <f>(1+'CDF EF'!$H10)*'Summary-PSD'!L10</f>
        <v>4.951642071036586</v>
      </c>
      <c r="M38" s="191"/>
      <c r="N38" s="192" t="e">
        <f>#REF!</f>
        <v>#REF!</v>
      </c>
      <c r="O38" s="193" t="e">
        <f>#REF!</f>
        <v>#REF!</v>
      </c>
      <c r="P38" s="193" t="e">
        <f>#REF!</f>
        <v>#REF!</v>
      </c>
      <c r="Q38" s="422" t="e">
        <f t="shared" si="4"/>
        <v>#REF!</v>
      </c>
      <c r="R38" s="436"/>
    </row>
    <row r="39" spans="2:18" s="147" customFormat="1" ht="19.5" customHeight="1">
      <c r="B39" s="14"/>
      <c r="C39" s="604" t="s">
        <v>174</v>
      </c>
      <c r="D39" s="605"/>
      <c r="E39" s="606"/>
      <c r="F39" s="551">
        <f>(1+'PB EF'!D10)*'Summary-PSD'!F10</f>
        <v>4.728583334164395</v>
      </c>
      <c r="G39" s="184">
        <f>(1+'PB EF'!E10)*'Summary-PSD'!G10</f>
        <v>336.0721238169326</v>
      </c>
      <c r="H39" s="554">
        <f>(1+'PB EF'!F10)*'Summary-PSD'!H10</f>
        <v>622.7369329699509</v>
      </c>
      <c r="I39" s="553">
        <f>(1+'PB EF'!G10)*'Summary-PSD'!I10</f>
        <v>6.697656285623117</v>
      </c>
      <c r="J39" s="553">
        <f>(1+'PB EF'!$H10)*'Summary-PSD'!J10</f>
        <v>6.724376265060242</v>
      </c>
      <c r="K39" s="553">
        <f>(1+'PB EF'!$H10)*'Summary-PSD'!K10</f>
        <v>6.536093729638554</v>
      </c>
      <c r="L39" s="553">
        <f>(1+'PB EF'!$H10)*'Summary-PSD'!L10</f>
        <v>3.9135869862650607</v>
      </c>
      <c r="M39" s="191"/>
      <c r="N39" s="194" t="e">
        <f>#REF!</f>
        <v>#REF!</v>
      </c>
      <c r="O39" s="193" t="e">
        <f>#REF!</f>
        <v>#REF!</v>
      </c>
      <c r="P39" s="193" t="e">
        <f>#REF!</f>
        <v>#REF!</v>
      </c>
      <c r="Q39" s="422" t="e">
        <f t="shared" si="4"/>
        <v>#REF!</v>
      </c>
      <c r="R39" s="436"/>
    </row>
    <row r="40" spans="2:18" s="147" customFormat="1" ht="19.5" customHeight="1">
      <c r="B40" s="14"/>
      <c r="C40" s="300"/>
      <c r="D40" s="140" t="s">
        <v>192</v>
      </c>
      <c r="E40" s="217"/>
      <c r="F40" s="284">
        <f aca="true" t="shared" si="5" ref="F40:L40">MAX(F32:F39)</f>
        <v>5.852025106584557</v>
      </c>
      <c r="G40" s="284">
        <f t="shared" si="5"/>
        <v>363.8887410167687</v>
      </c>
      <c r="H40" s="284">
        <f t="shared" si="5"/>
        <v>622.7369329699509</v>
      </c>
      <c r="I40" s="284">
        <f t="shared" si="5"/>
        <v>11.018181818181818</v>
      </c>
      <c r="J40" s="284">
        <f t="shared" si="5"/>
        <v>9.290960149572651</v>
      </c>
      <c r="K40" s="284">
        <f t="shared" si="5"/>
        <v>9.030813265384616</v>
      </c>
      <c r="L40" s="284">
        <f t="shared" si="5"/>
        <v>5.407338807051283</v>
      </c>
      <c r="M40" s="449"/>
      <c r="N40" s="194"/>
      <c r="O40" s="193"/>
      <c r="P40" s="193"/>
      <c r="Q40" s="422"/>
      <c r="R40" s="436"/>
    </row>
    <row r="41" spans="2:18" s="147" customFormat="1" ht="19.5" customHeight="1">
      <c r="B41" s="14"/>
      <c r="C41" s="300" t="s">
        <v>171</v>
      </c>
      <c r="D41" s="140"/>
      <c r="E41" s="217"/>
      <c r="F41" s="284">
        <f aca="true" t="shared" si="6" ref="F41:L41">F10*$I$31/$I$9</f>
        <v>14.16421974759889</v>
      </c>
      <c r="G41" s="284">
        <f t="shared" si="6"/>
        <v>886.1505296967888</v>
      </c>
      <c r="H41" s="284">
        <f t="shared" si="6"/>
        <v>1476.1436189010265</v>
      </c>
      <c r="I41" s="284">
        <f t="shared" si="6"/>
        <v>21.67005662140619</v>
      </c>
      <c r="J41" s="284">
        <f t="shared" si="6"/>
        <v>16.742195453795834</v>
      </c>
      <c r="K41" s="284">
        <f t="shared" si="6"/>
        <v>16.27341398108955</v>
      </c>
      <c r="L41" s="284">
        <f t="shared" si="6"/>
        <v>9.743957754109177</v>
      </c>
      <c r="M41" s="301"/>
      <c r="N41" s="289">
        <f>N10*$I$31/$I$9</f>
        <v>874438.5090350803</v>
      </c>
      <c r="O41" s="186">
        <f>O10*$I$31/$I$9</f>
        <v>34.48258078955842</v>
      </c>
      <c r="P41" s="186">
        <f>P10*$I$31/$I$9</f>
        <v>5.579502849622781</v>
      </c>
      <c r="Q41" s="424">
        <f>Q10*$I$31/$I$9</f>
        <v>877030.2194382023</v>
      </c>
      <c r="R41" s="436"/>
    </row>
    <row r="42" spans="2:18" s="147" customFormat="1" ht="19.5" customHeight="1">
      <c r="B42" s="14"/>
      <c r="C42" s="187"/>
      <c r="D42" s="23"/>
      <c r="E42" s="442" t="s">
        <v>166</v>
      </c>
      <c r="F42" s="442"/>
      <c r="G42" s="442"/>
      <c r="H42" s="442"/>
      <c r="I42" s="442"/>
      <c r="J42" s="442"/>
      <c r="K42" s="442"/>
      <c r="L42" s="442"/>
      <c r="M42" s="442"/>
      <c r="N42" s="23"/>
      <c r="O42" s="23"/>
      <c r="P42" s="23"/>
      <c r="Q42" s="23"/>
      <c r="R42" s="436"/>
    </row>
    <row r="43" spans="2:18" s="147" customFormat="1" ht="19.5" customHeight="1">
      <c r="B43" s="14"/>
      <c r="C43" s="187"/>
      <c r="D43" s="23"/>
      <c r="E43" s="442" t="s">
        <v>164</v>
      </c>
      <c r="F43" s="442"/>
      <c r="G43" s="442"/>
      <c r="H43" s="442"/>
      <c r="I43" s="442"/>
      <c r="J43" s="442"/>
      <c r="K43" s="442"/>
      <c r="L43" s="442"/>
      <c r="M43" s="442"/>
      <c r="N43" s="23"/>
      <c r="O43" s="23"/>
      <c r="P43" s="23"/>
      <c r="Q43" s="23"/>
      <c r="R43" s="436"/>
    </row>
    <row r="44" spans="2:18" s="32" customFormat="1" ht="19.5" customHeight="1">
      <c r="B44" s="33"/>
      <c r="C44" s="188" t="s">
        <v>53</v>
      </c>
      <c r="D44" s="214"/>
      <c r="E44" s="140"/>
      <c r="F44" s="331"/>
      <c r="G44" s="128"/>
      <c r="H44" s="128"/>
      <c r="I44" s="128"/>
      <c r="J44" s="129"/>
      <c r="K44" s="129"/>
      <c r="L44" s="129"/>
      <c r="M44" s="101"/>
      <c r="N44" s="129"/>
      <c r="O44" s="129"/>
      <c r="P44" s="129"/>
      <c r="Q44" s="129"/>
      <c r="R44" s="435"/>
    </row>
    <row r="45" spans="2:18" ht="19.5" customHeight="1" thickBot="1">
      <c r="B45" s="14"/>
      <c r="C45" s="616" t="s">
        <v>60</v>
      </c>
      <c r="D45" s="617"/>
      <c r="E45" s="618"/>
      <c r="F45" s="332">
        <v>0</v>
      </c>
      <c r="G45" s="332">
        <v>0</v>
      </c>
      <c r="H45" s="332">
        <v>0</v>
      </c>
      <c r="I45" s="332">
        <v>0</v>
      </c>
      <c r="J45" s="332">
        <f>'PSD New Unit-pot emiss'!J14</f>
        <v>3.134265909090909</v>
      </c>
      <c r="K45" s="332">
        <f>'PSD New Unit-pot emiss'!K14</f>
        <v>2.5388205293181816</v>
      </c>
      <c r="L45" s="333">
        <f>'PSD New Unit-pot emiss'!L14</f>
        <v>0.623182159090909</v>
      </c>
      <c r="M45" s="179"/>
      <c r="N45" s="180">
        <v>0</v>
      </c>
      <c r="O45" s="180">
        <v>0</v>
      </c>
      <c r="P45" s="180">
        <v>0</v>
      </c>
      <c r="Q45" s="425">
        <v>0</v>
      </c>
      <c r="R45" s="436"/>
    </row>
    <row r="46" spans="2:18" ht="19.5" customHeight="1" thickBot="1">
      <c r="B46" s="14"/>
      <c r="C46" s="334" t="s">
        <v>87</v>
      </c>
      <c r="D46" s="305"/>
      <c r="E46" s="306"/>
      <c r="F46" s="307">
        <f>F45+F41+F29</f>
        <v>15.804014010814429</v>
      </c>
      <c r="G46" s="307">
        <f aca="true" t="shared" si="7" ref="G46:L46">G45+G41+G29</f>
        <v>1615.3792940283522</v>
      </c>
      <c r="H46" s="307">
        <f t="shared" si="7"/>
        <v>2112.5878661733504</v>
      </c>
      <c r="I46" s="307">
        <f t="shared" si="7"/>
        <v>39.00045825177316</v>
      </c>
      <c r="J46" s="307">
        <f t="shared" si="7"/>
        <v>32.485819336573506</v>
      </c>
      <c r="K46" s="307">
        <f t="shared" si="7"/>
        <v>31.06853046083127</v>
      </c>
      <c r="L46" s="307">
        <f t="shared" si="7"/>
        <v>17.705786253885783</v>
      </c>
      <c r="M46" s="308"/>
      <c r="N46" s="309">
        <f>N45+N41+N29</f>
        <v>1606370.466168629</v>
      </c>
      <c r="O46" s="307">
        <f>O45+O41+O29</f>
        <v>58.60398212878843</v>
      </c>
      <c r="P46" s="307">
        <f>P45+P41+P29</f>
        <v>9.289170169122286</v>
      </c>
      <c r="Q46" s="426">
        <f>Q45+Q41+Q29</f>
        <v>1610715.2084742768</v>
      </c>
      <c r="R46" s="436"/>
    </row>
    <row r="47" spans="2:18" s="147" customFormat="1" ht="9.75" customHeight="1" thickBot="1" thickTop="1">
      <c r="B47" s="294"/>
      <c r="C47" s="295"/>
      <c r="D47" s="295"/>
      <c r="E47" s="296"/>
      <c r="F47" s="297"/>
      <c r="G47" s="297"/>
      <c r="H47" s="297"/>
      <c r="I47" s="297"/>
      <c r="J47" s="297"/>
      <c r="K47" s="297"/>
      <c r="L47" s="297"/>
      <c r="M47" s="298"/>
      <c r="N47" s="299"/>
      <c r="O47" s="299"/>
      <c r="P47" s="299"/>
      <c r="Q47" s="297"/>
      <c r="R47" s="438"/>
    </row>
    <row r="48" spans="2:18" s="147" customFormat="1" ht="1.5" customHeight="1" thickTop="1">
      <c r="B48" s="14"/>
      <c r="C48" s="292"/>
      <c r="D48" s="292"/>
      <c r="E48" s="292"/>
      <c r="F48" s="139"/>
      <c r="G48" s="139"/>
      <c r="H48" s="139"/>
      <c r="I48" s="139"/>
      <c r="J48" s="139"/>
      <c r="K48" s="139"/>
      <c r="L48" s="139"/>
      <c r="M48" s="101"/>
      <c r="N48" s="141"/>
      <c r="O48" s="141"/>
      <c r="P48" s="141"/>
      <c r="Q48" s="141"/>
      <c r="R48" s="436"/>
    </row>
    <row r="49" spans="2:18" s="32" customFormat="1" ht="19.5" customHeight="1">
      <c r="B49" s="33"/>
      <c r="C49" s="34"/>
      <c r="D49" s="34"/>
      <c r="E49" s="293" t="s">
        <v>49</v>
      </c>
      <c r="F49" s="40" t="s">
        <v>145</v>
      </c>
      <c r="G49" s="40" t="s">
        <v>8</v>
      </c>
      <c r="H49" s="40" t="s">
        <v>3</v>
      </c>
      <c r="I49" s="40" t="s">
        <v>50</v>
      </c>
      <c r="J49" s="40" t="s">
        <v>70</v>
      </c>
      <c r="K49" s="40" t="s">
        <v>68</v>
      </c>
      <c r="L49" s="92" t="s">
        <v>69</v>
      </c>
      <c r="M49" s="98"/>
      <c r="N49" s="93" t="s">
        <v>38</v>
      </c>
      <c r="O49" s="40" t="s">
        <v>39</v>
      </c>
      <c r="P49" s="40" t="s">
        <v>40</v>
      </c>
      <c r="Q49" s="92" t="s">
        <v>66</v>
      </c>
      <c r="R49" s="435"/>
    </row>
    <row r="50" spans="2:18" s="32" customFormat="1" ht="3.75" customHeight="1" thickBot="1">
      <c r="B50" s="282"/>
      <c r="C50" s="34"/>
      <c r="D50" s="34"/>
      <c r="E50" s="35"/>
      <c r="F50" s="169"/>
      <c r="G50" s="169"/>
      <c r="H50" s="169"/>
      <c r="I50" s="169"/>
      <c r="J50" s="169"/>
      <c r="K50" s="169"/>
      <c r="L50" s="170"/>
      <c r="M50" s="99"/>
      <c r="N50" s="171"/>
      <c r="O50" s="169"/>
      <c r="P50" s="169"/>
      <c r="Q50" s="170"/>
      <c r="R50" s="435"/>
    </row>
    <row r="51" spans="2:18" s="147" customFormat="1" ht="19.5" customHeight="1">
      <c r="B51" s="14"/>
      <c r="C51" s="283" t="s">
        <v>146</v>
      </c>
      <c r="D51" s="212"/>
      <c r="E51" s="172"/>
      <c r="F51" s="174" t="s">
        <v>26</v>
      </c>
      <c r="G51" s="174" t="s">
        <v>26</v>
      </c>
      <c r="H51" s="174" t="s">
        <v>26</v>
      </c>
      <c r="I51" s="174" t="s">
        <v>26</v>
      </c>
      <c r="J51" s="174" t="s">
        <v>26</v>
      </c>
      <c r="K51" s="174" t="s">
        <v>26</v>
      </c>
      <c r="L51" s="174" t="s">
        <v>26</v>
      </c>
      <c r="M51" s="175"/>
      <c r="N51" s="174" t="s">
        <v>26</v>
      </c>
      <c r="O51" s="174" t="s">
        <v>26</v>
      </c>
      <c r="P51" s="174" t="s">
        <v>26</v>
      </c>
      <c r="Q51" s="418" t="s">
        <v>26</v>
      </c>
      <c r="R51" s="436"/>
    </row>
    <row r="52" spans="2:18" s="147" customFormat="1" ht="19.5" customHeight="1">
      <c r="B52" s="14"/>
      <c r="C52" s="187"/>
      <c r="D52" s="23" t="s">
        <v>74</v>
      </c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436"/>
    </row>
    <row r="53" spans="2:18" s="147" customFormat="1" ht="19.5" customHeight="1">
      <c r="B53" s="14"/>
      <c r="C53" s="607" t="s">
        <v>143</v>
      </c>
      <c r="D53" s="608"/>
      <c r="E53" s="609"/>
      <c r="F53" s="337">
        <f aca="true" t="shared" si="8" ref="F53:L53">F29-F8</f>
        <v>0.9005442632155385</v>
      </c>
      <c r="G53" s="183">
        <f t="shared" si="8"/>
        <v>400.4787643315634</v>
      </c>
      <c r="H53" s="183">
        <f t="shared" si="8"/>
        <v>349.523247272324</v>
      </c>
      <c r="I53" s="183">
        <f t="shared" si="8"/>
        <v>9.517531630366971</v>
      </c>
      <c r="J53" s="183">
        <f t="shared" si="8"/>
        <v>6.924822973686764</v>
      </c>
      <c r="K53" s="183">
        <f t="shared" si="8"/>
        <v>6.730927930423535</v>
      </c>
      <c r="L53" s="183">
        <f t="shared" si="8"/>
        <v>4.030246970685697</v>
      </c>
      <c r="M53" s="23"/>
      <c r="N53" s="290">
        <f>N29-N8</f>
        <v>401963.3071335488</v>
      </c>
      <c r="O53" s="183">
        <f>O29-O8</f>
        <v>13.247021339230013</v>
      </c>
      <c r="P53" s="183">
        <f>P29-P8</f>
        <v>2.0372797356068877</v>
      </c>
      <c r="Q53" s="427">
        <f>Q29-Q8</f>
        <v>402926.0393850677</v>
      </c>
      <c r="R53" s="436"/>
    </row>
    <row r="54" spans="2:18" s="147" customFormat="1" ht="6" customHeight="1">
      <c r="B54" s="14"/>
      <c r="C54" s="310"/>
      <c r="D54" s="80"/>
      <c r="E54" s="80"/>
      <c r="F54" s="80"/>
      <c r="G54" s="80"/>
      <c r="H54" s="80"/>
      <c r="I54" s="80"/>
      <c r="J54" s="80"/>
      <c r="K54" s="80"/>
      <c r="L54" s="80"/>
      <c r="M54" s="23"/>
      <c r="N54" s="80"/>
      <c r="O54" s="80"/>
      <c r="P54" s="80"/>
      <c r="Q54" s="428"/>
      <c r="R54" s="436"/>
    </row>
    <row r="55" spans="2:18" s="147" customFormat="1" ht="19.5" customHeight="1">
      <c r="B55" s="14"/>
      <c r="C55" s="607" t="s">
        <v>144</v>
      </c>
      <c r="D55" s="608"/>
      <c r="E55" s="609"/>
      <c r="F55" s="189">
        <f aca="true" t="shared" si="9" ref="F55:L55">F41-F10</f>
        <v>8.673719747598891</v>
      </c>
      <c r="G55" s="189">
        <f t="shared" si="9"/>
        <v>542.6505296967888</v>
      </c>
      <c r="H55" s="189">
        <f t="shared" si="9"/>
        <v>903.9436189010264</v>
      </c>
      <c r="I55" s="189">
        <f t="shared" si="9"/>
        <v>13.270056621406189</v>
      </c>
      <c r="J55" s="189">
        <f t="shared" si="9"/>
        <v>10.252390453795833</v>
      </c>
      <c r="K55" s="189">
        <f t="shared" si="9"/>
        <v>9.965323521089552</v>
      </c>
      <c r="L55" s="189">
        <f t="shared" si="9"/>
        <v>5.966891244109176</v>
      </c>
      <c r="M55" s="23"/>
      <c r="N55" s="291">
        <f>N41-N10</f>
        <v>535478.4590350803</v>
      </c>
      <c r="O55" s="189">
        <f>O41-O10</f>
        <v>21.11604078955842</v>
      </c>
      <c r="P55" s="189">
        <f>P41-P10</f>
        <v>3.416710903314056</v>
      </c>
      <c r="Q55" s="429">
        <f>Q41-Q10</f>
        <v>537065.5404348465</v>
      </c>
      <c r="R55" s="436"/>
    </row>
    <row r="56" spans="2:18" s="147" customFormat="1" ht="6" customHeight="1">
      <c r="B56" s="14"/>
      <c r="C56" s="310"/>
      <c r="D56" s="80"/>
      <c r="E56" s="185"/>
      <c r="F56" s="185"/>
      <c r="G56" s="185"/>
      <c r="H56" s="185"/>
      <c r="I56" s="185"/>
      <c r="J56" s="185"/>
      <c r="K56" s="185"/>
      <c r="L56" s="185"/>
      <c r="M56" s="23"/>
      <c r="N56" s="185"/>
      <c r="O56" s="185"/>
      <c r="P56" s="185"/>
      <c r="Q56" s="430"/>
      <c r="R56" s="436"/>
    </row>
    <row r="57" spans="2:18" ht="19.5" customHeight="1" thickBot="1">
      <c r="B57" s="14"/>
      <c r="C57" s="598" t="s">
        <v>73</v>
      </c>
      <c r="D57" s="599"/>
      <c r="E57" s="600"/>
      <c r="F57" s="313">
        <f>F46-F55-F53</f>
        <v>6.229749999999999</v>
      </c>
      <c r="G57" s="313">
        <f aca="true" t="shared" si="10" ref="G57:L57">G46-G55-G53</f>
        <v>672.2500000000001</v>
      </c>
      <c r="H57" s="313">
        <f t="shared" si="10"/>
        <v>859.1210000000001</v>
      </c>
      <c r="I57" s="313">
        <f t="shared" si="10"/>
        <v>16.21287</v>
      </c>
      <c r="J57" s="313">
        <f t="shared" si="10"/>
        <v>15.30860590909091</v>
      </c>
      <c r="K57" s="313">
        <f t="shared" si="10"/>
        <v>14.372279009318182</v>
      </c>
      <c r="L57" s="313">
        <f t="shared" si="10"/>
        <v>7.70864803909091</v>
      </c>
      <c r="M57" s="314"/>
      <c r="N57" s="315">
        <f>N46-N55-N53</f>
        <v>668928.6999999998</v>
      </c>
      <c r="O57" s="313">
        <f>O46-O55-O53</f>
        <v>24.24092</v>
      </c>
      <c r="P57" s="313">
        <f>P46-P55-P53</f>
        <v>3.835179530201342</v>
      </c>
      <c r="Q57" s="431">
        <f>Q46-Q55-Q53</f>
        <v>670723.6286543626</v>
      </c>
      <c r="R57" s="436"/>
    </row>
    <row r="58" spans="2:18" s="147" customFormat="1" ht="19.5" customHeight="1" thickBot="1">
      <c r="B58" s="14"/>
      <c r="C58" s="187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436"/>
    </row>
    <row r="59" spans="2:18" ht="19.5" customHeight="1">
      <c r="B59" s="14"/>
      <c r="C59" s="601" t="s">
        <v>203</v>
      </c>
      <c r="D59" s="602"/>
      <c r="E59" s="603"/>
      <c r="F59" s="316">
        <f aca="true" t="shared" si="11" ref="F59:L59">F57-F13</f>
        <v>0</v>
      </c>
      <c r="G59" s="316">
        <f t="shared" si="11"/>
        <v>0</v>
      </c>
      <c r="H59" s="316">
        <f t="shared" si="11"/>
        <v>0</v>
      </c>
      <c r="I59" s="316">
        <f t="shared" si="11"/>
        <v>0</v>
      </c>
      <c r="J59" s="316">
        <f t="shared" si="11"/>
        <v>3.1342659090909084</v>
      </c>
      <c r="K59" s="316">
        <f t="shared" si="11"/>
        <v>2.5388205293181816</v>
      </c>
      <c r="L59" s="317">
        <f t="shared" si="11"/>
        <v>0.6231821590909092</v>
      </c>
      <c r="M59" s="318"/>
      <c r="N59" s="318"/>
      <c r="O59" s="318"/>
      <c r="P59" s="318"/>
      <c r="Q59" s="432">
        <f>Q57-Q13</f>
        <v>0</v>
      </c>
      <c r="R59" s="439"/>
    </row>
    <row r="60" spans="2:18" ht="6" customHeight="1">
      <c r="B60" s="14"/>
      <c r="C60" s="319"/>
      <c r="D60" s="31"/>
      <c r="E60" s="39"/>
      <c r="F60" s="37"/>
      <c r="G60" s="37"/>
      <c r="H60" s="37"/>
      <c r="I60" s="37"/>
      <c r="J60" s="37"/>
      <c r="K60" s="37"/>
      <c r="L60" s="37"/>
      <c r="M60" s="101"/>
      <c r="N60" s="37"/>
      <c r="O60" s="37"/>
      <c r="P60" s="37"/>
      <c r="Q60" s="37"/>
      <c r="R60" s="436"/>
    </row>
    <row r="61" spans="2:18" ht="19.5" customHeight="1">
      <c r="B61" s="14"/>
      <c r="C61" s="607" t="s">
        <v>42</v>
      </c>
      <c r="D61" s="608"/>
      <c r="E61" s="609"/>
      <c r="F61" s="38">
        <v>40</v>
      </c>
      <c r="G61" s="38">
        <v>40</v>
      </c>
      <c r="H61" s="38">
        <v>100</v>
      </c>
      <c r="I61" s="38">
        <v>40</v>
      </c>
      <c r="J61" s="38">
        <v>25</v>
      </c>
      <c r="K61" s="38">
        <v>15</v>
      </c>
      <c r="L61" s="38">
        <v>10</v>
      </c>
      <c r="M61" s="101"/>
      <c r="N61" s="37"/>
      <c r="O61" s="37"/>
      <c r="P61" s="37"/>
      <c r="Q61" s="37"/>
      <c r="R61" s="436"/>
    </row>
    <row r="62" spans="2:18" ht="19.5" customHeight="1" thickBot="1">
      <c r="B62" s="14"/>
      <c r="C62" s="598" t="s">
        <v>47</v>
      </c>
      <c r="D62" s="599"/>
      <c r="E62" s="600"/>
      <c r="F62" s="320" t="s">
        <v>48</v>
      </c>
      <c r="G62" s="320" t="s">
        <v>48</v>
      </c>
      <c r="H62" s="320" t="s">
        <v>48</v>
      </c>
      <c r="I62" s="320" t="s">
        <v>48</v>
      </c>
      <c r="J62" s="320" t="s">
        <v>48</v>
      </c>
      <c r="K62" s="320" t="s">
        <v>48</v>
      </c>
      <c r="L62" s="320" t="s">
        <v>48</v>
      </c>
      <c r="M62" s="321"/>
      <c r="N62" s="322" t="s">
        <v>51</v>
      </c>
      <c r="O62" s="323"/>
      <c r="P62" s="324"/>
      <c r="Q62" s="433" t="s">
        <v>48</v>
      </c>
      <c r="R62" s="436"/>
    </row>
    <row r="63" spans="2:18" ht="19.5" customHeight="1">
      <c r="B63" s="14"/>
      <c r="C63" s="79" t="s">
        <v>1</v>
      </c>
      <c r="D63" s="79"/>
      <c r="E63" s="110" t="s">
        <v>102</v>
      </c>
      <c r="F63" s="110"/>
      <c r="G63" s="110"/>
      <c r="H63" s="110"/>
      <c r="I63" s="110"/>
      <c r="J63" s="110"/>
      <c r="K63" s="110"/>
      <c r="L63" s="110"/>
      <c r="M63" s="110"/>
      <c r="N63" s="110"/>
      <c r="O63" s="110"/>
      <c r="P63" s="109"/>
      <c r="Q63" s="109"/>
      <c r="R63" s="215"/>
    </row>
    <row r="64" spans="2:18" s="147" customFormat="1" ht="19.5" customHeight="1">
      <c r="B64" s="14"/>
      <c r="C64" s="79"/>
      <c r="D64" s="79"/>
      <c r="E64" s="216" t="s">
        <v>104</v>
      </c>
      <c r="F64" s="110"/>
      <c r="G64" s="110"/>
      <c r="H64" s="110"/>
      <c r="I64" s="110"/>
      <c r="J64" s="110"/>
      <c r="K64" s="110"/>
      <c r="L64" s="110"/>
      <c r="M64" s="110"/>
      <c r="N64" s="110"/>
      <c r="O64" s="110"/>
      <c r="P64" s="109"/>
      <c r="Q64" s="109"/>
      <c r="R64" s="215"/>
    </row>
    <row r="65" spans="2:18" s="147" customFormat="1" ht="19.5" customHeight="1">
      <c r="B65" s="14"/>
      <c r="C65" s="79"/>
      <c r="D65" s="79"/>
      <c r="E65" s="110" t="s">
        <v>92</v>
      </c>
      <c r="F65" s="110"/>
      <c r="G65" s="110"/>
      <c r="H65" s="110"/>
      <c r="I65" s="110"/>
      <c r="J65" s="110"/>
      <c r="K65" s="110"/>
      <c r="L65" s="110"/>
      <c r="M65" s="110"/>
      <c r="N65" s="110"/>
      <c r="O65" s="110"/>
      <c r="P65" s="109"/>
      <c r="Q65" s="109"/>
      <c r="R65" s="215"/>
    </row>
    <row r="66" spans="2:18" s="147" customFormat="1" ht="19.5" customHeight="1">
      <c r="B66" s="14"/>
      <c r="C66" s="79"/>
      <c r="D66" s="79"/>
      <c r="E66" s="110" t="s">
        <v>103</v>
      </c>
      <c r="F66" s="110"/>
      <c r="G66" s="110"/>
      <c r="H66" s="110"/>
      <c r="I66" s="110"/>
      <c r="J66" s="110"/>
      <c r="K66" s="110"/>
      <c r="L66" s="110"/>
      <c r="M66" s="110"/>
      <c r="N66" s="110"/>
      <c r="O66" s="110"/>
      <c r="P66" s="109"/>
      <c r="Q66" s="109"/>
      <c r="R66" s="215"/>
    </row>
    <row r="67" spans="2:18" ht="19.5" customHeight="1">
      <c r="B67" s="14"/>
      <c r="C67" s="440" t="s">
        <v>2</v>
      </c>
      <c r="D67" s="440"/>
      <c r="E67" s="441" t="s">
        <v>156</v>
      </c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15"/>
      <c r="Q67" s="15"/>
      <c r="R67" s="11"/>
    </row>
    <row r="68" spans="2:18" ht="6" customHeight="1" thickBot="1">
      <c r="B68" s="21"/>
      <c r="C68" s="91"/>
      <c r="D68" s="91"/>
      <c r="E68" s="36"/>
      <c r="F68" s="89"/>
      <c r="G68" s="89"/>
      <c r="H68" s="89"/>
      <c r="I68" s="89"/>
      <c r="J68" s="119"/>
      <c r="K68" s="119"/>
      <c r="L68" s="119"/>
      <c r="M68" s="119"/>
      <c r="N68" s="119"/>
      <c r="O68" s="119"/>
      <c r="P68" s="13"/>
      <c r="Q68" s="13"/>
      <c r="R68" s="12"/>
    </row>
    <row r="69" ht="15.75" thickTop="1"/>
  </sheetData>
  <sheetProtection/>
  <mergeCells count="22">
    <mergeCell ref="C35:E35"/>
    <mergeCell ref="C38:E38"/>
    <mergeCell ref="C55:E55"/>
    <mergeCell ref="C45:E45"/>
    <mergeCell ref="C22:E22"/>
    <mergeCell ref="C34:E34"/>
    <mergeCell ref="C8:E8"/>
    <mergeCell ref="C53:E53"/>
    <mergeCell ref="C12:E12"/>
    <mergeCell ref="C20:E20"/>
    <mergeCell ref="C21:E21"/>
    <mergeCell ref="C23:E23"/>
    <mergeCell ref="C62:E62"/>
    <mergeCell ref="C59:E59"/>
    <mergeCell ref="C27:E27"/>
    <mergeCell ref="C61:E61"/>
    <mergeCell ref="C10:E10"/>
    <mergeCell ref="C57:E57"/>
    <mergeCell ref="C32:E32"/>
    <mergeCell ref="C33:E33"/>
    <mergeCell ref="C26:E26"/>
    <mergeCell ref="C39:E39"/>
  </mergeCells>
  <printOptions/>
  <pageMargins left="0.7" right="0.7" top="0.75" bottom="0.75" header="0.3" footer="0.3"/>
  <pageSetup fitToHeight="1" fitToWidth="1" horizontalDpi="600" verticalDpi="600" orientation="landscape" scale="4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I13"/>
  <sheetViews>
    <sheetView zoomScale="90" zoomScaleNormal="90" workbookViewId="0" topLeftCell="A1">
      <selection activeCell="C8" sqref="C8:C9"/>
    </sheetView>
  </sheetViews>
  <sheetFormatPr defaultColWidth="9.140625" defaultRowHeight="15"/>
  <cols>
    <col min="1" max="1" width="9.140625" style="150" customWidth="1"/>
    <col min="2" max="2" width="3.7109375" style="150" customWidth="1"/>
    <col min="3" max="3" width="35.7109375" style="150" customWidth="1"/>
    <col min="4" max="8" width="17.7109375" style="150" customWidth="1"/>
    <col min="9" max="9" width="3.7109375" style="150" customWidth="1"/>
    <col min="10" max="16384" width="9.140625" style="150" customWidth="1"/>
  </cols>
  <sheetData>
    <row r="1" s="147" customFormat="1" ht="15.75" thickBot="1"/>
    <row r="2" spans="2:9" s="147" customFormat="1" ht="15.75" thickTop="1">
      <c r="B2" s="467"/>
      <c r="C2" s="468"/>
      <c r="D2" s="468"/>
      <c r="E2" s="468"/>
      <c r="F2" s="468"/>
      <c r="G2" s="468"/>
      <c r="H2" s="468"/>
      <c r="I2" s="469"/>
    </row>
    <row r="3" spans="2:9" s="147" customFormat="1" ht="18.75">
      <c r="B3" s="470"/>
      <c r="C3" s="690" t="s">
        <v>188</v>
      </c>
      <c r="D3" s="691"/>
      <c r="E3" s="691"/>
      <c r="F3" s="691"/>
      <c r="G3" s="691"/>
      <c r="H3" s="692"/>
      <c r="I3" s="471"/>
    </row>
    <row r="4" spans="2:9" s="147" customFormat="1" ht="18.75">
      <c r="B4" s="470"/>
      <c r="C4" s="700" t="s">
        <v>207</v>
      </c>
      <c r="D4" s="701"/>
      <c r="E4" s="701"/>
      <c r="F4" s="701"/>
      <c r="G4" s="701"/>
      <c r="H4" s="702"/>
      <c r="I4" s="471"/>
    </row>
    <row r="5" spans="2:9" s="147" customFormat="1" ht="15">
      <c r="B5" s="470"/>
      <c r="C5" s="472"/>
      <c r="D5" s="473"/>
      <c r="E5" s="473"/>
      <c r="F5" s="473"/>
      <c r="G5" s="473"/>
      <c r="H5" s="473"/>
      <c r="I5" s="471"/>
    </row>
    <row r="6" spans="2:9" s="147" customFormat="1" ht="18" customHeight="1">
      <c r="B6" s="470"/>
      <c r="C6" s="473"/>
      <c r="D6" s="696" t="s">
        <v>176</v>
      </c>
      <c r="E6" s="697"/>
      <c r="F6" s="697"/>
      <c r="G6" s="697"/>
      <c r="H6" s="698"/>
      <c r="I6" s="474"/>
    </row>
    <row r="7" spans="2:9" s="147" customFormat="1" ht="18">
      <c r="B7" s="470"/>
      <c r="C7" s="505"/>
      <c r="D7" s="475" t="s">
        <v>177</v>
      </c>
      <c r="E7" s="476" t="s">
        <v>178</v>
      </c>
      <c r="F7" s="476" t="s">
        <v>3</v>
      </c>
      <c r="G7" s="476" t="s">
        <v>179</v>
      </c>
      <c r="H7" s="477" t="s">
        <v>70</v>
      </c>
      <c r="I7" s="471"/>
    </row>
    <row r="8" spans="2:9" s="484" customFormat="1" ht="19.5" customHeight="1">
      <c r="B8" s="478"/>
      <c r="C8" s="479" t="s">
        <v>209</v>
      </c>
      <c r="D8" s="506">
        <v>166</v>
      </c>
      <c r="E8" s="507">
        <v>162</v>
      </c>
      <c r="F8" s="507">
        <v>915</v>
      </c>
      <c r="G8" s="508" t="s">
        <v>0</v>
      </c>
      <c r="H8" s="509">
        <v>1.64</v>
      </c>
      <c r="I8" s="483"/>
    </row>
    <row r="9" spans="2:9" s="484" customFormat="1" ht="19.5" customHeight="1">
      <c r="B9" s="478"/>
      <c r="C9" s="501" t="s">
        <v>210</v>
      </c>
      <c r="D9" s="510">
        <v>77</v>
      </c>
      <c r="E9" s="511">
        <v>101</v>
      </c>
      <c r="F9" s="511">
        <v>330</v>
      </c>
      <c r="G9" s="512" t="s">
        <v>0</v>
      </c>
      <c r="H9" s="513">
        <v>2.15</v>
      </c>
      <c r="I9" s="483"/>
    </row>
    <row r="10" spans="2:9" s="484" customFormat="1" ht="19.5" customHeight="1">
      <c r="B10" s="488"/>
      <c r="C10" s="586" t="s">
        <v>180</v>
      </c>
      <c r="D10" s="587">
        <f>D9/D8-1</f>
        <v>-0.536144578313253</v>
      </c>
      <c r="E10" s="588">
        <f>E9/E8-1</f>
        <v>-0.3765432098765432</v>
      </c>
      <c r="F10" s="588">
        <f>F9/F8-1</f>
        <v>-0.639344262295082</v>
      </c>
      <c r="G10" s="590" t="s">
        <v>0</v>
      </c>
      <c r="H10" s="591">
        <f>H9/H8-1</f>
        <v>0.3109756097560976</v>
      </c>
      <c r="I10" s="493"/>
    </row>
    <row r="11" spans="2:9" s="484" customFormat="1" ht="19.5" customHeight="1">
      <c r="B11" s="592"/>
      <c r="C11" s="593"/>
      <c r="D11" s="594"/>
      <c r="E11" s="594"/>
      <c r="F11" s="594"/>
      <c r="G11" s="595"/>
      <c r="H11" s="595"/>
      <c r="I11" s="493"/>
    </row>
    <row r="12" spans="2:9" s="147" customFormat="1" ht="15.75" thickBot="1">
      <c r="B12" s="495"/>
      <c r="C12" s="496" t="s">
        <v>208</v>
      </c>
      <c r="D12" s="515"/>
      <c r="E12" s="515"/>
      <c r="F12" s="515"/>
      <c r="G12" s="515"/>
      <c r="H12" s="515"/>
      <c r="I12" s="516"/>
    </row>
    <row r="13" spans="2:9" s="147" customFormat="1" ht="15.75" thickTop="1">
      <c r="B13" s="524"/>
      <c r="C13" s="524"/>
      <c r="D13" s="524"/>
      <c r="E13" s="524"/>
      <c r="F13" s="524"/>
      <c r="G13" s="524"/>
      <c r="H13" s="524"/>
      <c r="I13" s="16"/>
    </row>
    <row r="14" s="1" customFormat="1" ht="15"/>
  </sheetData>
  <sheetProtection/>
  <mergeCells count="3">
    <mergeCell ref="C3:H3"/>
    <mergeCell ref="C4:H4"/>
    <mergeCell ref="D6:H6"/>
  </mergeCells>
  <printOptions/>
  <pageMargins left="0.7" right="0.7" top="0.75" bottom="0.75" header="0.3" footer="0.3"/>
  <pageSetup horizontalDpi="600" verticalDpi="600" orientation="portrait" scale="51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2:I12"/>
  <sheetViews>
    <sheetView zoomScale="90" zoomScaleNormal="90" zoomScalePageLayoutView="0" workbookViewId="0" topLeftCell="A1">
      <selection activeCell="C12" sqref="C12"/>
    </sheetView>
  </sheetViews>
  <sheetFormatPr defaultColWidth="9.140625" defaultRowHeight="15"/>
  <cols>
    <col min="1" max="1" width="9.140625" style="150" customWidth="1"/>
    <col min="2" max="2" width="3.7109375" style="150" customWidth="1"/>
    <col min="3" max="3" width="35.7109375" style="150" customWidth="1"/>
    <col min="4" max="8" width="17.7109375" style="150" customWidth="1"/>
    <col min="9" max="9" width="3.7109375" style="150" customWidth="1"/>
    <col min="10" max="16384" width="9.140625" style="150" customWidth="1"/>
  </cols>
  <sheetData>
    <row r="1" s="147" customFormat="1" ht="15.75" thickBot="1"/>
    <row r="2" spans="2:9" s="147" customFormat="1" ht="15.75" thickTop="1">
      <c r="B2" s="467"/>
      <c r="C2" s="468"/>
      <c r="D2" s="468"/>
      <c r="E2" s="468"/>
      <c r="F2" s="468"/>
      <c r="G2" s="468"/>
      <c r="H2" s="468"/>
      <c r="I2" s="469"/>
    </row>
    <row r="3" spans="2:9" s="147" customFormat="1" ht="18.75">
      <c r="B3" s="470"/>
      <c r="C3" s="690" t="s">
        <v>200</v>
      </c>
      <c r="D3" s="691"/>
      <c r="E3" s="691"/>
      <c r="F3" s="691"/>
      <c r="G3" s="691"/>
      <c r="H3" s="692"/>
      <c r="I3" s="471"/>
    </row>
    <row r="4" spans="2:9" s="147" customFormat="1" ht="18.75">
      <c r="B4" s="470"/>
      <c r="C4" s="700" t="s">
        <v>206</v>
      </c>
      <c r="D4" s="701"/>
      <c r="E4" s="701"/>
      <c r="F4" s="701"/>
      <c r="G4" s="701"/>
      <c r="H4" s="702"/>
      <c r="I4" s="471"/>
    </row>
    <row r="5" spans="2:9" s="147" customFormat="1" ht="15">
      <c r="B5" s="470"/>
      <c r="C5" s="472"/>
      <c r="D5" s="473"/>
      <c r="E5" s="473"/>
      <c r="F5" s="473"/>
      <c r="G5" s="473"/>
      <c r="H5" s="473"/>
      <c r="I5" s="471"/>
    </row>
    <row r="6" spans="2:9" s="147" customFormat="1" ht="18" customHeight="1">
      <c r="B6" s="470"/>
      <c r="C6" s="473"/>
      <c r="D6" s="696" t="s">
        <v>176</v>
      </c>
      <c r="E6" s="697"/>
      <c r="F6" s="697"/>
      <c r="G6" s="697"/>
      <c r="H6" s="698"/>
      <c r="I6" s="474"/>
    </row>
    <row r="7" spans="2:9" s="147" customFormat="1" ht="18">
      <c r="B7" s="470"/>
      <c r="C7" s="473"/>
      <c r="D7" s="475" t="s">
        <v>177</v>
      </c>
      <c r="E7" s="476" t="s">
        <v>178</v>
      </c>
      <c r="F7" s="476" t="s">
        <v>3</v>
      </c>
      <c r="G7" s="476" t="s">
        <v>179</v>
      </c>
      <c r="H7" s="477" t="s">
        <v>70</v>
      </c>
      <c r="I7" s="471"/>
    </row>
    <row r="8" spans="2:9" s="484" customFormat="1" ht="19.5" customHeight="1">
      <c r="B8" s="478"/>
      <c r="C8" s="479" t="s">
        <v>209</v>
      </c>
      <c r="D8" s="498">
        <v>0.012380794701986724</v>
      </c>
      <c r="E8" s="499">
        <v>1.9642720259845685</v>
      </c>
      <c r="F8" s="499">
        <v>1.4091945461945448</v>
      </c>
      <c r="G8" s="499">
        <v>0.1252088452088452</v>
      </c>
      <c r="H8" s="500">
        <v>0.041499999999999995</v>
      </c>
      <c r="I8" s="483"/>
    </row>
    <row r="9" spans="2:9" s="484" customFormat="1" ht="19.5" customHeight="1">
      <c r="B9" s="478"/>
      <c r="C9" s="501" t="s">
        <v>210</v>
      </c>
      <c r="D9" s="502">
        <v>0.01066271186440675</v>
      </c>
      <c r="E9" s="503">
        <v>1.9217964236588734</v>
      </c>
      <c r="F9" s="503">
        <v>1.5336551724137932</v>
      </c>
      <c r="G9" s="503">
        <v>0.09983402489626594</v>
      </c>
      <c r="H9" s="504">
        <v>0.043</v>
      </c>
      <c r="I9" s="483"/>
    </row>
    <row r="10" spans="2:9" s="484" customFormat="1" ht="19.5" customHeight="1">
      <c r="B10" s="488"/>
      <c r="C10" s="586" t="s">
        <v>180</v>
      </c>
      <c r="D10" s="587">
        <f>D9/D8-1</f>
        <v>-0.1387699965095356</v>
      </c>
      <c r="E10" s="588">
        <f>E9/E8-1</f>
        <v>-0.021624093691608115</v>
      </c>
      <c r="F10" s="588">
        <f>F9/F8-1</f>
        <v>0.08832040015720177</v>
      </c>
      <c r="G10" s="588">
        <f>G9/G8-1</f>
        <v>-0.202659965997248</v>
      </c>
      <c r="H10" s="588">
        <f>H9/H8-1</f>
        <v>0.03614457831325302</v>
      </c>
      <c r="I10" s="493"/>
    </row>
    <row r="11" spans="2:9" s="484" customFormat="1" ht="19.5" customHeight="1">
      <c r="B11" s="488"/>
      <c r="C11" s="597" t="s">
        <v>211</v>
      </c>
      <c r="D11" s="594"/>
      <c r="E11" s="594"/>
      <c r="F11" s="594"/>
      <c r="G11" s="594"/>
      <c r="H11" s="594"/>
      <c r="I11" s="596"/>
    </row>
    <row r="12" spans="2:9" s="147" customFormat="1" ht="15.75" thickBot="1">
      <c r="B12" s="495"/>
      <c r="C12" s="496" t="s">
        <v>208</v>
      </c>
      <c r="D12" s="515"/>
      <c r="E12" s="515"/>
      <c r="F12" s="515"/>
      <c r="G12" s="515"/>
      <c r="H12" s="515"/>
      <c r="I12" s="516"/>
    </row>
    <row r="13" s="147" customFormat="1" ht="15.75" thickTop="1"/>
    <row r="14" s="147" customFormat="1" ht="15"/>
    <row r="15" s="1" customFormat="1" ht="15"/>
  </sheetData>
  <sheetProtection/>
  <mergeCells count="3">
    <mergeCell ref="C3:H3"/>
    <mergeCell ref="C4:H4"/>
    <mergeCell ref="D6:H6"/>
  </mergeCells>
  <printOptions/>
  <pageMargins left="0.7" right="0.7" top="0.75" bottom="0.75" header="0.3" footer="0.3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2:P37"/>
  <sheetViews>
    <sheetView showGridLines="0" zoomScale="80" zoomScaleNormal="80" zoomScalePageLayoutView="0" workbookViewId="0" topLeftCell="A1">
      <selection activeCell="A1" sqref="A1"/>
    </sheetView>
  </sheetViews>
  <sheetFormatPr defaultColWidth="9.140625" defaultRowHeight="15"/>
  <cols>
    <col min="1" max="2" width="3.7109375" style="0" customWidth="1"/>
    <col min="3" max="3" width="5.28125" style="0" customWidth="1"/>
    <col min="4" max="4" width="49.00390625" style="0" customWidth="1"/>
    <col min="5" max="5" width="13.57421875" style="0" customWidth="1"/>
    <col min="6" max="6" width="11.421875" style="0" customWidth="1"/>
    <col min="7" max="9" width="15.7109375" style="43" customWidth="1"/>
    <col min="10" max="10" width="18.00390625" style="43" customWidth="1"/>
    <col min="11" max="11" width="18.140625" style="43" customWidth="1"/>
    <col min="12" max="12" width="17.28125" style="43" customWidth="1"/>
    <col min="13" max="14" width="3.7109375" style="0" customWidth="1"/>
    <col min="16" max="16" width="10.57421875" style="0" bestFit="1" customWidth="1"/>
  </cols>
  <sheetData>
    <row r="1" ht="9.75" customHeight="1" thickBot="1"/>
    <row r="2" spans="2:13" ht="48.75" customHeight="1" thickTop="1">
      <c r="B2" s="8"/>
      <c r="C2" s="9"/>
      <c r="D2" s="311" t="s">
        <v>153</v>
      </c>
      <c r="E2" s="9"/>
      <c r="F2" s="9"/>
      <c r="G2" s="44"/>
      <c r="H2" s="44"/>
      <c r="I2" s="44"/>
      <c r="J2" s="44"/>
      <c r="K2" s="44"/>
      <c r="L2" s="44"/>
      <c r="M2" s="10"/>
    </row>
    <row r="3" spans="2:13" s="47" customFormat="1" ht="34.5" customHeight="1">
      <c r="B3" s="45"/>
      <c r="C3" s="97" t="s">
        <v>9</v>
      </c>
      <c r="D3" s="97" t="s">
        <v>10</v>
      </c>
      <c r="E3" s="97" t="s">
        <v>11</v>
      </c>
      <c r="F3" s="97" t="s">
        <v>12</v>
      </c>
      <c r="G3" s="97" t="s">
        <v>13</v>
      </c>
      <c r="H3" s="97" t="s">
        <v>14</v>
      </c>
      <c r="I3" s="97" t="s">
        <v>61</v>
      </c>
      <c r="J3" s="97" t="s">
        <v>15</v>
      </c>
      <c r="K3" s="97" t="s">
        <v>20</v>
      </c>
      <c r="L3" s="97" t="s">
        <v>64</v>
      </c>
      <c r="M3" s="46"/>
    </row>
    <row r="4" spans="2:13" ht="17.25" customHeight="1">
      <c r="B4" s="14"/>
      <c r="C4" s="4">
        <v>1</v>
      </c>
      <c r="D4" s="48" t="s">
        <v>34</v>
      </c>
      <c r="E4" s="49">
        <f>1.3/22*E5</f>
        <v>10340.90909090909</v>
      </c>
      <c r="F4" s="6">
        <v>1</v>
      </c>
      <c r="G4" s="50">
        <v>0.556</v>
      </c>
      <c r="H4" s="50">
        <v>0.453417442</v>
      </c>
      <c r="I4" s="50">
        <v>0.1113</v>
      </c>
      <c r="J4" s="94">
        <f>E4*G4/2000</f>
        <v>2.8747727272727275</v>
      </c>
      <c r="K4" s="95">
        <f>E4*H4/2000</f>
        <v>2.3443742739772726</v>
      </c>
      <c r="L4" s="94">
        <f>E4*I4/2000</f>
        <v>0.5754715909090908</v>
      </c>
      <c r="M4" s="11"/>
    </row>
    <row r="5" spans="2:13" ht="17.25" customHeight="1">
      <c r="B5" s="14"/>
      <c r="C5" s="5">
        <v>2</v>
      </c>
      <c r="D5" s="51" t="s">
        <v>149</v>
      </c>
      <c r="E5" s="52">
        <v>175000</v>
      </c>
      <c r="F5" s="7">
        <v>1</v>
      </c>
      <c r="G5" s="53" t="s">
        <v>16</v>
      </c>
      <c r="H5" s="54"/>
      <c r="I5" s="54"/>
      <c r="J5" s="54"/>
      <c r="K5" s="54"/>
      <c r="L5" s="143"/>
      <c r="M5" s="11"/>
    </row>
    <row r="6" spans="2:13" ht="18.75" customHeight="1">
      <c r="B6" s="14"/>
      <c r="C6" s="198">
        <v>3</v>
      </c>
      <c r="D6" s="195" t="s">
        <v>150</v>
      </c>
      <c r="E6" s="199">
        <f>E5</f>
        <v>175000</v>
      </c>
      <c r="F6" s="200">
        <v>1</v>
      </c>
      <c r="G6" s="196">
        <v>0.00014</v>
      </c>
      <c r="H6" s="196">
        <v>4.6E-05</v>
      </c>
      <c r="I6" s="196">
        <v>1.3E-05</v>
      </c>
      <c r="J6" s="197">
        <f aca="true" t="shared" si="0" ref="J6:J12">E6*G6/2000</f>
        <v>0.012249999999999999</v>
      </c>
      <c r="K6" s="197">
        <f aca="true" t="shared" si="1" ref="K6:K12">E6*H6/2000</f>
        <v>0.004025</v>
      </c>
      <c r="L6" s="197">
        <f aca="true" t="shared" si="2" ref="L6:L12">E6*I6/2000</f>
        <v>0.0011375</v>
      </c>
      <c r="M6" s="11"/>
    </row>
    <row r="7" spans="2:13" s="147" customFormat="1" ht="17.25" customHeight="1">
      <c r="B7" s="14"/>
      <c r="C7" s="5" t="s">
        <v>94</v>
      </c>
      <c r="D7" s="201" t="s">
        <v>97</v>
      </c>
      <c r="E7" s="52">
        <f>E4</f>
        <v>10340.90909090909</v>
      </c>
      <c r="F7" s="7">
        <v>1</v>
      </c>
      <c r="G7" s="144">
        <v>0.0012</v>
      </c>
      <c r="H7" s="144">
        <v>0.00054</v>
      </c>
      <c r="I7" s="144">
        <v>0.0001</v>
      </c>
      <c r="J7" s="145">
        <f t="shared" si="0"/>
        <v>0.006204545454545453</v>
      </c>
      <c r="K7" s="145">
        <f t="shared" si="1"/>
        <v>0.0027920454545454546</v>
      </c>
      <c r="L7" s="145">
        <f t="shared" si="2"/>
        <v>0.0005170454545454545</v>
      </c>
      <c r="M7" s="11"/>
    </row>
    <row r="8" spans="2:13" ht="17.25" customHeight="1">
      <c r="B8" s="14"/>
      <c r="C8" s="5" t="s">
        <v>95</v>
      </c>
      <c r="D8" s="201" t="s">
        <v>96</v>
      </c>
      <c r="E8" s="52">
        <f>E7</f>
        <v>10340.90909090909</v>
      </c>
      <c r="F8" s="7">
        <v>1</v>
      </c>
      <c r="G8" s="144">
        <v>0.0012</v>
      </c>
      <c r="H8" s="144">
        <v>0.00054</v>
      </c>
      <c r="I8" s="144">
        <v>0.0001</v>
      </c>
      <c r="J8" s="145">
        <f t="shared" si="0"/>
        <v>0.006204545454545453</v>
      </c>
      <c r="K8" s="145">
        <f t="shared" si="1"/>
        <v>0.0027920454545454546</v>
      </c>
      <c r="L8" s="145">
        <f t="shared" si="2"/>
        <v>0.0005170454545454545</v>
      </c>
      <c r="M8" s="11"/>
    </row>
    <row r="9" spans="2:13" s="147" customFormat="1" ht="17.25" customHeight="1">
      <c r="B9" s="14"/>
      <c r="C9" s="5" t="s">
        <v>154</v>
      </c>
      <c r="D9" s="201" t="s">
        <v>151</v>
      </c>
      <c r="E9" s="52">
        <f>E4</f>
        <v>10340.90909090909</v>
      </c>
      <c r="F9" s="7">
        <v>1</v>
      </c>
      <c r="G9" s="144">
        <v>0.00014</v>
      </c>
      <c r="H9" s="144">
        <v>4.6E-05</v>
      </c>
      <c r="I9" s="144">
        <v>1.3E-05</v>
      </c>
      <c r="J9" s="145">
        <f>E9*G9/2000</f>
        <v>0.0007238636363636363</v>
      </c>
      <c r="K9" s="145">
        <f>E9*H9/2000</f>
        <v>0.00023784090909090906</v>
      </c>
      <c r="L9" s="145">
        <f>E9*I9/2000</f>
        <v>6.721590909090908E-05</v>
      </c>
      <c r="M9" s="11"/>
    </row>
    <row r="10" spans="2:13" ht="17.25" customHeight="1">
      <c r="B10" s="14"/>
      <c r="C10" s="5" t="s">
        <v>155</v>
      </c>
      <c r="D10" s="201" t="s">
        <v>152</v>
      </c>
      <c r="E10" s="52">
        <f>E9</f>
        <v>10340.90909090909</v>
      </c>
      <c r="F10" s="7">
        <v>1</v>
      </c>
      <c r="G10" s="144">
        <v>0.00014</v>
      </c>
      <c r="H10" s="144">
        <v>4.6E-05</v>
      </c>
      <c r="I10" s="144">
        <v>1.3E-05</v>
      </c>
      <c r="J10" s="145">
        <f t="shared" si="0"/>
        <v>0.0007238636363636363</v>
      </c>
      <c r="K10" s="145">
        <f t="shared" si="1"/>
        <v>0.00023784090909090906</v>
      </c>
      <c r="L10" s="145">
        <f t="shared" si="2"/>
        <v>6.721590909090908E-05</v>
      </c>
      <c r="M10" s="11"/>
    </row>
    <row r="11" spans="2:13" ht="17.25" customHeight="1">
      <c r="B11" s="14"/>
      <c r="C11" s="5">
        <v>6</v>
      </c>
      <c r="D11" s="51" t="s">
        <v>35</v>
      </c>
      <c r="E11" s="55">
        <f>0.1/22*E5</f>
        <v>795.4545454545456</v>
      </c>
      <c r="F11" s="7">
        <v>1</v>
      </c>
      <c r="G11" s="146">
        <f>G4</f>
        <v>0.556</v>
      </c>
      <c r="H11" s="146">
        <f>H4</f>
        <v>0.453417442</v>
      </c>
      <c r="I11" s="146">
        <f>I4</f>
        <v>0.1113</v>
      </c>
      <c r="J11" s="96">
        <f t="shared" si="0"/>
        <v>0.22113636363636371</v>
      </c>
      <c r="K11" s="96">
        <f t="shared" si="1"/>
        <v>0.1803364826136364</v>
      </c>
      <c r="L11" s="96">
        <f t="shared" si="2"/>
        <v>0.04426704545454546</v>
      </c>
      <c r="M11" s="11"/>
    </row>
    <row r="12" spans="2:13" ht="17.25" customHeight="1">
      <c r="B12" s="14"/>
      <c r="C12" s="5">
        <v>7</v>
      </c>
      <c r="D12" s="16" t="s">
        <v>36</v>
      </c>
      <c r="E12" s="52">
        <f>E5</f>
        <v>175000</v>
      </c>
      <c r="F12" s="7">
        <v>1</v>
      </c>
      <c r="G12" s="144">
        <f>0.00014</f>
        <v>0.00014</v>
      </c>
      <c r="H12" s="144">
        <v>4.6E-05</v>
      </c>
      <c r="I12" s="144">
        <v>1.3E-05</v>
      </c>
      <c r="J12" s="145">
        <f t="shared" si="0"/>
        <v>0.012249999999999999</v>
      </c>
      <c r="K12" s="145">
        <f t="shared" si="1"/>
        <v>0.004025</v>
      </c>
      <c r="L12" s="145">
        <f t="shared" si="2"/>
        <v>0.0011375</v>
      </c>
      <c r="M12" s="11"/>
    </row>
    <row r="13" spans="2:16" ht="17.25" customHeight="1">
      <c r="B13" s="14"/>
      <c r="C13" s="56">
        <v>8</v>
      </c>
      <c r="D13" s="57" t="s">
        <v>37</v>
      </c>
      <c r="E13" s="58">
        <f>E5</f>
        <v>175000</v>
      </c>
      <c r="F13" s="17">
        <v>1</v>
      </c>
      <c r="G13" s="53" t="s">
        <v>17</v>
      </c>
      <c r="H13" s="54"/>
      <c r="I13" s="54"/>
      <c r="J13" s="54"/>
      <c r="K13" s="54"/>
      <c r="L13" s="143"/>
      <c r="M13" s="11"/>
      <c r="P13" s="41"/>
    </row>
    <row r="14" spans="2:16" ht="15">
      <c r="B14" s="14"/>
      <c r="C14" s="15"/>
      <c r="D14" s="15"/>
      <c r="E14" s="15"/>
      <c r="F14" s="15"/>
      <c r="G14" s="59"/>
      <c r="H14" s="60" t="s">
        <v>18</v>
      </c>
      <c r="I14" s="60"/>
      <c r="J14" s="96">
        <f>SUM(J4,J6:J12)</f>
        <v>3.134265909090909</v>
      </c>
      <c r="K14" s="96">
        <f>SUM(K4,K6:K12)</f>
        <v>2.5388205293181816</v>
      </c>
      <c r="L14" s="96">
        <f>SUM(L4,L6:L12)</f>
        <v>0.623182159090909</v>
      </c>
      <c r="M14" s="11"/>
      <c r="P14" s="41"/>
    </row>
    <row r="15" spans="2:13" ht="15">
      <c r="B15" s="14"/>
      <c r="C15" s="61" t="s">
        <v>19</v>
      </c>
      <c r="D15" s="62"/>
      <c r="E15" s="19"/>
      <c r="F15" s="19"/>
      <c r="G15" s="20"/>
      <c r="H15" s="20"/>
      <c r="I15" s="20"/>
      <c r="J15" s="20"/>
      <c r="K15" s="20"/>
      <c r="L15" s="20"/>
      <c r="M15" s="11"/>
    </row>
    <row r="16" spans="2:13" ht="30">
      <c r="B16" s="14"/>
      <c r="C16" s="63" t="s">
        <v>9</v>
      </c>
      <c r="D16" s="3"/>
      <c r="E16" s="42"/>
      <c r="F16" s="3"/>
      <c r="G16" s="64"/>
      <c r="H16" s="64"/>
      <c r="I16" s="64"/>
      <c r="J16" s="64"/>
      <c r="K16" s="64"/>
      <c r="L16" s="65"/>
      <c r="M16" s="11"/>
    </row>
    <row r="17" spans="2:13" ht="15" customHeight="1">
      <c r="B17" s="14"/>
      <c r="C17" s="66">
        <v>1</v>
      </c>
      <c r="D17" s="1"/>
      <c r="E17" s="1"/>
      <c r="F17" s="1"/>
      <c r="G17" s="67"/>
      <c r="H17" s="67"/>
      <c r="I17" s="67"/>
      <c r="J17" s="67"/>
      <c r="K17" s="67"/>
      <c r="L17" s="68"/>
      <c r="M17" s="11"/>
    </row>
    <row r="18" spans="2:13" ht="30">
      <c r="B18" s="14"/>
      <c r="C18" s="69" t="s">
        <v>9</v>
      </c>
      <c r="D18" s="2"/>
      <c r="E18" s="2"/>
      <c r="F18" s="2"/>
      <c r="G18" s="70"/>
      <c r="H18" s="70"/>
      <c r="I18" s="70"/>
      <c r="J18" s="70"/>
      <c r="K18" s="70"/>
      <c r="L18" s="71"/>
      <c r="M18" s="11"/>
    </row>
    <row r="19" spans="2:13" ht="15">
      <c r="B19" s="14"/>
      <c r="C19" s="66">
        <v>6</v>
      </c>
      <c r="D19" s="1"/>
      <c r="E19" s="1"/>
      <c r="F19" s="1"/>
      <c r="G19" s="67"/>
      <c r="H19" s="67"/>
      <c r="I19" s="67"/>
      <c r="J19" s="67"/>
      <c r="K19" s="67"/>
      <c r="L19" s="68"/>
      <c r="M19" s="11"/>
    </row>
    <row r="20" spans="2:13" ht="15">
      <c r="B20" s="14"/>
      <c r="C20" s="63" t="s">
        <v>1</v>
      </c>
      <c r="D20" s="3"/>
      <c r="E20" s="3"/>
      <c r="F20" s="3"/>
      <c r="G20" s="64"/>
      <c r="H20" s="64"/>
      <c r="I20" s="64"/>
      <c r="J20" s="64"/>
      <c r="K20" s="64"/>
      <c r="L20" s="65"/>
      <c r="M20" s="11"/>
    </row>
    <row r="21" spans="2:13" ht="15">
      <c r="B21" s="14"/>
      <c r="C21" s="66"/>
      <c r="D21" s="1"/>
      <c r="E21" s="1"/>
      <c r="F21" s="1"/>
      <c r="G21" s="67"/>
      <c r="H21" s="67"/>
      <c r="I21" s="67"/>
      <c r="J21" s="67"/>
      <c r="K21" s="67"/>
      <c r="L21" s="68"/>
      <c r="M21" s="11"/>
    </row>
    <row r="22" spans="2:13" ht="15">
      <c r="B22" s="14"/>
      <c r="C22" s="72"/>
      <c r="D22" s="15"/>
      <c r="E22" s="15"/>
      <c r="F22" s="15"/>
      <c r="G22" s="18"/>
      <c r="H22" s="18"/>
      <c r="I22" s="18"/>
      <c r="J22" s="18"/>
      <c r="K22" s="18"/>
      <c r="L22" s="18"/>
      <c r="M22" s="11"/>
    </row>
    <row r="23" spans="2:13" ht="15" customHeight="1">
      <c r="B23" s="14"/>
      <c r="C23" s="73" t="s">
        <v>1</v>
      </c>
      <c r="D23" s="18" t="s">
        <v>62</v>
      </c>
      <c r="E23" s="74"/>
      <c r="F23" s="74"/>
      <c r="G23" s="74"/>
      <c r="H23" s="74"/>
      <c r="I23" s="74"/>
      <c r="J23" s="74"/>
      <c r="K23" s="74"/>
      <c r="L23" s="74"/>
      <c r="M23" s="11"/>
    </row>
    <row r="24" spans="2:13" ht="15" customHeight="1">
      <c r="B24" s="14"/>
      <c r="C24" s="73" t="s">
        <v>2</v>
      </c>
      <c r="D24" s="703" t="s">
        <v>63</v>
      </c>
      <c r="E24" s="703"/>
      <c r="F24" s="703"/>
      <c r="G24" s="703"/>
      <c r="H24" s="703"/>
      <c r="I24" s="703"/>
      <c r="J24" s="703"/>
      <c r="K24" s="703"/>
      <c r="L24" s="703"/>
      <c r="M24" s="11"/>
    </row>
    <row r="25" spans="2:13" ht="15">
      <c r="B25" s="14"/>
      <c r="C25" s="73"/>
      <c r="D25" s="703"/>
      <c r="E25" s="703"/>
      <c r="F25" s="703"/>
      <c r="G25" s="703"/>
      <c r="H25" s="703"/>
      <c r="I25" s="703"/>
      <c r="J25" s="703"/>
      <c r="K25" s="703"/>
      <c r="L25" s="703"/>
      <c r="M25" s="11"/>
    </row>
    <row r="26" spans="2:13" ht="15.75" thickBot="1">
      <c r="B26" s="21"/>
      <c r="C26" s="13"/>
      <c r="D26" s="13"/>
      <c r="E26" s="13"/>
      <c r="F26" s="13"/>
      <c r="G26" s="75"/>
      <c r="H26" s="75"/>
      <c r="I26" s="75"/>
      <c r="J26" s="75"/>
      <c r="K26" s="75"/>
      <c r="L26" s="75"/>
      <c r="M26" s="12"/>
    </row>
    <row r="27" ht="15.75" thickTop="1"/>
    <row r="28" ht="15">
      <c r="C28" s="76"/>
    </row>
    <row r="29" ht="15">
      <c r="C29" s="76"/>
    </row>
    <row r="36" spans="4:9" ht="15">
      <c r="D36" s="77"/>
      <c r="E36" s="78"/>
      <c r="F36" s="77"/>
      <c r="G36" s="77"/>
      <c r="H36" s="77"/>
      <c r="I36" s="77"/>
    </row>
    <row r="37" spans="4:9" ht="15">
      <c r="D37" s="77"/>
      <c r="E37" s="77"/>
      <c r="F37" s="77"/>
      <c r="G37" s="77"/>
      <c r="H37" s="77"/>
      <c r="I37" s="77"/>
    </row>
  </sheetData>
  <sheetProtection/>
  <mergeCells count="1">
    <mergeCell ref="D24:L25"/>
  </mergeCells>
  <printOptions/>
  <pageMargins left="0.7" right="0.7" top="0.75" bottom="0.75" header="0.3" footer="0.3"/>
  <pageSetup horizontalDpi="600" verticalDpi="600" orientation="portrait" r:id="rId2"/>
  <customProperties>
    <customPr name="DVSECTIONID" r:id="rId3"/>
  </customProperties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1:L2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.7109375" style="160" customWidth="1"/>
    <col min="2" max="2" width="14.00390625" style="160" bestFit="1" customWidth="1"/>
    <col min="3" max="3" width="12.140625" style="160" customWidth="1"/>
    <col min="4" max="4" width="16.7109375" style="160" customWidth="1"/>
    <col min="5" max="8" width="15.7109375" style="160" customWidth="1"/>
    <col min="9" max="9" width="9.421875" style="160" customWidth="1"/>
    <col min="10" max="10" width="9.140625" style="160" customWidth="1"/>
    <col min="11" max="11" width="10.7109375" style="160" customWidth="1"/>
    <col min="12" max="16384" width="9.140625" style="160" customWidth="1"/>
  </cols>
  <sheetData>
    <row r="1" spans="2:8" ht="37.5" thickBot="1">
      <c r="B1" s="203"/>
      <c r="C1" s="204" t="s">
        <v>4</v>
      </c>
      <c r="D1" s="205" t="s">
        <v>77</v>
      </c>
      <c r="E1" s="205" t="s">
        <v>76</v>
      </c>
      <c r="F1" s="205" t="s">
        <v>79</v>
      </c>
      <c r="G1" s="205" t="s">
        <v>78</v>
      </c>
      <c r="H1" s="205" t="s">
        <v>80</v>
      </c>
    </row>
    <row r="2" spans="2:12" ht="15">
      <c r="B2" s="704" t="s">
        <v>82</v>
      </c>
      <c r="C2" s="206">
        <v>2011</v>
      </c>
      <c r="D2" s="161">
        <v>44509</v>
      </c>
      <c r="E2" s="161">
        <v>48501</v>
      </c>
      <c r="F2" s="161">
        <v>59100</v>
      </c>
      <c r="G2" s="161">
        <v>86534</v>
      </c>
      <c r="H2" s="161">
        <v>40639</v>
      </c>
      <c r="K2" s="160" t="s">
        <v>71</v>
      </c>
      <c r="L2" s="160">
        <v>32.065</v>
      </c>
    </row>
    <row r="3" spans="2:12" ht="18">
      <c r="B3" s="705"/>
      <c r="C3" s="206">
        <v>2010</v>
      </c>
      <c r="D3" s="161">
        <v>49698</v>
      </c>
      <c r="E3" s="161">
        <v>55090</v>
      </c>
      <c r="F3" s="161">
        <v>60841</v>
      </c>
      <c r="G3" s="161">
        <v>75224</v>
      </c>
      <c r="H3" s="161">
        <v>52932</v>
      </c>
      <c r="K3" s="160" t="s">
        <v>72</v>
      </c>
      <c r="L3" s="160">
        <f>32.065+2*15.999</f>
        <v>64.063</v>
      </c>
    </row>
    <row r="4" spans="2:8" ht="15">
      <c r="B4" s="705"/>
      <c r="C4" s="206">
        <v>2009</v>
      </c>
      <c r="D4" s="161">
        <v>53872</v>
      </c>
      <c r="E4" s="161">
        <v>53726</v>
      </c>
      <c r="F4" s="161">
        <v>73851</v>
      </c>
      <c r="G4" s="161">
        <v>91322</v>
      </c>
      <c r="H4" s="161">
        <v>45892</v>
      </c>
    </row>
    <row r="5" spans="2:8" ht="15.75" thickBot="1">
      <c r="B5" s="706"/>
      <c r="C5" s="207">
        <v>2008</v>
      </c>
      <c r="D5" s="162">
        <v>75680</v>
      </c>
      <c r="E5" s="181" t="s">
        <v>81</v>
      </c>
      <c r="F5" s="162">
        <v>94045</v>
      </c>
      <c r="G5" s="162">
        <v>143763</v>
      </c>
      <c r="H5" s="162">
        <v>76214</v>
      </c>
    </row>
    <row r="6" spans="2:8" ht="15">
      <c r="B6" s="704" t="s">
        <v>93</v>
      </c>
      <c r="C6" s="206">
        <v>2011</v>
      </c>
      <c r="D6" s="163">
        <v>1.8</v>
      </c>
      <c r="E6" s="163">
        <v>4.4</v>
      </c>
      <c r="F6" s="163">
        <v>29.1</v>
      </c>
      <c r="G6" s="163">
        <v>10.02</v>
      </c>
      <c r="H6" s="163">
        <v>3.23</v>
      </c>
    </row>
    <row r="7" spans="2:8" ht="15">
      <c r="B7" s="705"/>
      <c r="C7" s="206">
        <v>2010</v>
      </c>
      <c r="D7" s="163">
        <v>2.87</v>
      </c>
      <c r="E7" s="163">
        <v>1.61</v>
      </c>
      <c r="F7" s="163">
        <v>8.41</v>
      </c>
      <c r="G7" s="163">
        <v>3.6</v>
      </c>
      <c r="H7" s="163">
        <v>2.37972</v>
      </c>
    </row>
    <row r="8" spans="2:8" ht="15">
      <c r="B8" s="705"/>
      <c r="C8" s="206">
        <v>2009</v>
      </c>
      <c r="D8" s="163">
        <v>1.75</v>
      </c>
      <c r="E8" s="163">
        <v>1.61</v>
      </c>
      <c r="F8" s="163">
        <v>13.93</v>
      </c>
      <c r="G8" s="163">
        <v>4.82</v>
      </c>
      <c r="H8" s="163">
        <v>5.456</v>
      </c>
    </row>
    <row r="9" spans="2:8" ht="15.75" thickBot="1">
      <c r="B9" s="706"/>
      <c r="C9" s="207">
        <v>2008</v>
      </c>
      <c r="D9" s="164">
        <v>4.4</v>
      </c>
      <c r="E9" s="181" t="s">
        <v>0</v>
      </c>
      <c r="F9" s="164">
        <v>9.87</v>
      </c>
      <c r="G9" s="164">
        <v>5.06</v>
      </c>
      <c r="H9" s="164">
        <v>7.76235</v>
      </c>
    </row>
    <row r="10" spans="2:8" ht="18" customHeight="1">
      <c r="B10" s="707" t="s">
        <v>148</v>
      </c>
      <c r="C10" s="206">
        <v>2011</v>
      </c>
      <c r="D10" s="211">
        <f aca="true" t="shared" si="0" ref="D10:H12">D2*0.01*($L$3/$L$2)</f>
        <v>889.249981911742</v>
      </c>
      <c r="E10" s="211">
        <f t="shared" si="0"/>
        <v>969.0065688445346</v>
      </c>
      <c r="F10" s="211">
        <f t="shared" si="0"/>
        <v>1180.7651021362858</v>
      </c>
      <c r="G10" s="211">
        <f t="shared" si="0"/>
        <v>1728.8718671448623</v>
      </c>
      <c r="H10" s="211">
        <f t="shared" si="0"/>
        <v>811.9308457820053</v>
      </c>
    </row>
    <row r="11" spans="2:8" ht="17.25" customHeight="1">
      <c r="B11" s="708"/>
      <c r="C11" s="206">
        <v>2010</v>
      </c>
      <c r="D11" s="163">
        <f t="shared" si="0"/>
        <v>992.9215574614067</v>
      </c>
      <c r="E11" s="163">
        <f t="shared" si="0"/>
        <v>1100.6488913145174</v>
      </c>
      <c r="F11" s="163">
        <f t="shared" si="0"/>
        <v>1215.5487238421956</v>
      </c>
      <c r="G11" s="163">
        <f t="shared" si="0"/>
        <v>1502.908190238578</v>
      </c>
      <c r="H11" s="163">
        <f t="shared" si="0"/>
        <v>1057.5339828473416</v>
      </c>
    </row>
    <row r="12" spans="2:8" ht="16.5" customHeight="1">
      <c r="B12" s="708"/>
      <c r="C12" s="206">
        <v>2009</v>
      </c>
      <c r="D12" s="163">
        <f t="shared" si="0"/>
        <v>1076.3143414938409</v>
      </c>
      <c r="E12" s="163">
        <f t="shared" si="0"/>
        <v>1073.3973921721504</v>
      </c>
      <c r="F12" s="163">
        <f t="shared" si="0"/>
        <v>1475.4768791517233</v>
      </c>
      <c r="G12" s="163">
        <f t="shared" si="0"/>
        <v>1824.5318216123503</v>
      </c>
      <c r="H12" s="163">
        <f t="shared" si="0"/>
        <v>916.8810840480276</v>
      </c>
    </row>
    <row r="13" spans="2:8" ht="18.75" customHeight="1" thickBot="1">
      <c r="B13" s="709"/>
      <c r="C13" s="207">
        <v>2008</v>
      </c>
      <c r="D13" s="164">
        <f>D5*0.01*($L$3/$L$2)</f>
        <v>1512.0186620926247</v>
      </c>
      <c r="E13" s="164"/>
      <c r="F13" s="164">
        <f>F5*0.01*($L$3/$L$2)</f>
        <v>1878.9349243723689</v>
      </c>
      <c r="G13" s="164">
        <f>G5*0.01*($L$3/$L$2)</f>
        <v>2872.2560639326375</v>
      </c>
      <c r="H13" s="164">
        <f>H5*0.01*($L$3/$L$2)</f>
        <v>1522.6875041322317</v>
      </c>
    </row>
    <row r="14" spans="2:8" ht="15">
      <c r="B14" s="704" t="s">
        <v>83</v>
      </c>
      <c r="C14" s="206">
        <v>2011</v>
      </c>
      <c r="D14" s="208">
        <f aca="true" t="shared" si="1" ref="D14:G17">(D10-D6)/D10</f>
        <v>0.9979758222810078</v>
      </c>
      <c r="E14" s="208">
        <f t="shared" si="1"/>
        <v>0.9954592671077074</v>
      </c>
      <c r="F14" s="208">
        <f t="shared" si="1"/>
        <v>0.9753549626870315</v>
      </c>
      <c r="G14" s="208">
        <f t="shared" si="1"/>
        <v>0.9942043131186191</v>
      </c>
      <c r="H14" s="208">
        <f>(H10-H7)/H10</f>
        <v>0.9970690607305256</v>
      </c>
    </row>
    <row r="15" spans="2:8" ht="15">
      <c r="B15" s="705"/>
      <c r="C15" s="206">
        <v>2010</v>
      </c>
      <c r="D15" s="208">
        <f t="shared" si="1"/>
        <v>0.9971095400453005</v>
      </c>
      <c r="E15" s="208">
        <f t="shared" si="1"/>
        <v>0.9985372265281828</v>
      </c>
      <c r="F15" s="208">
        <f t="shared" si="1"/>
        <v>0.9930813139489653</v>
      </c>
      <c r="G15" s="208">
        <f t="shared" si="1"/>
        <v>0.9976046441004301</v>
      </c>
      <c r="H15" s="208">
        <f>(H11-H8)/H11</f>
        <v>0.9948408277289492</v>
      </c>
    </row>
    <row r="16" spans="2:8" ht="15">
      <c r="B16" s="705"/>
      <c r="C16" s="206">
        <v>2009</v>
      </c>
      <c r="D16" s="208">
        <f t="shared" si="1"/>
        <v>0.998374080942217</v>
      </c>
      <c r="E16" s="208">
        <f t="shared" si="1"/>
        <v>0.9985000895178794</v>
      </c>
      <c r="F16" s="208">
        <f t="shared" si="1"/>
        <v>0.9905589845582612</v>
      </c>
      <c r="G16" s="208">
        <f t="shared" si="1"/>
        <v>0.9973582263992851</v>
      </c>
      <c r="H16" s="208">
        <f>(H12-H9)/H12</f>
        <v>0.9915339621080095</v>
      </c>
    </row>
    <row r="17" spans="2:8" ht="15.75" thickBot="1">
      <c r="B17" s="706"/>
      <c r="C17" s="207">
        <v>2008</v>
      </c>
      <c r="D17" s="209">
        <f t="shared" si="1"/>
        <v>0.9970899830072795</v>
      </c>
      <c r="E17" s="210" t="s">
        <v>0</v>
      </c>
      <c r="F17" s="209">
        <f t="shared" si="1"/>
        <v>0.994747024033684</v>
      </c>
      <c r="G17" s="209">
        <f t="shared" si="1"/>
        <v>0.9982383186291991</v>
      </c>
      <c r="H17" s="209">
        <f>(H13-H9)/H13</f>
        <v>0.9949022041758833</v>
      </c>
    </row>
    <row r="18" ht="26.25" customHeight="1" thickBot="1"/>
    <row r="19" spans="2:5" ht="15.75" thickBot="1">
      <c r="B19" s="165" t="s">
        <v>84</v>
      </c>
      <c r="C19" s="166"/>
      <c r="D19" s="166"/>
      <c r="E19" s="167">
        <f>AVERAGE(D14:H17)</f>
        <v>0.9948705185078114</v>
      </c>
    </row>
    <row r="20" ht="15">
      <c r="B20" s="160" t="s">
        <v>85</v>
      </c>
    </row>
    <row r="21" ht="15">
      <c r="B21" s="160" t="s">
        <v>91</v>
      </c>
    </row>
  </sheetData>
  <sheetProtection/>
  <mergeCells count="4">
    <mergeCell ref="B2:B5"/>
    <mergeCell ref="B6:B9"/>
    <mergeCell ref="B10:B13"/>
    <mergeCell ref="B14:B17"/>
  </mergeCells>
  <printOptions/>
  <pageMargins left="0.7" right="0.7" top="0.75" bottom="0.75" header="0.3" footer="0.3"/>
  <pageSetup horizontalDpi="600" verticalDpi="6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V34"/>
  <sheetViews>
    <sheetView zoomScalePageLayoutView="0" workbookViewId="0" topLeftCell="A1">
      <selection activeCell="GS34" sqref="GS34"/>
    </sheetView>
  </sheetViews>
  <sheetFormatPr defaultColWidth="9.140625" defaultRowHeight="15"/>
  <sheetData>
    <row r="1" spans="1:256" ht="15">
      <c r="A1" t="e">
        <f>IF(#REF!,"AAAAAGt/cgA=",0)</f>
        <v>#REF!</v>
      </c>
      <c r="B1" t="e">
        <f>AND(#REF!,"AAAAAGt/cgE=")</f>
        <v>#REF!</v>
      </c>
      <c r="C1" t="e">
        <f>AND(#REF!,"AAAAAGt/cgI=")</f>
        <v>#REF!</v>
      </c>
      <c r="D1" t="e">
        <f>AND(#REF!,"AAAAAGt/cgM=")</f>
        <v>#REF!</v>
      </c>
      <c r="E1" t="e">
        <f>AND(#REF!,"AAAAAGt/cgQ=")</f>
        <v>#REF!</v>
      </c>
      <c r="F1" t="e">
        <f>AND(#REF!,"AAAAAGt/cgU=")</f>
        <v>#REF!</v>
      </c>
      <c r="G1" t="e">
        <f>AND(#REF!,"AAAAAGt/cgY=")</f>
        <v>#REF!</v>
      </c>
      <c r="H1" t="e">
        <f>AND(#REF!,"AAAAAGt/cgc=")</f>
        <v>#REF!</v>
      </c>
      <c r="I1" t="e">
        <f>AND(#REF!,"AAAAAGt/cgg=")</f>
        <v>#REF!</v>
      </c>
      <c r="J1" t="e">
        <f>AND(#REF!,"AAAAAGt/cgk=")</f>
        <v>#REF!</v>
      </c>
      <c r="K1" t="e">
        <f>AND(#REF!,"AAAAAGt/cgo=")</f>
        <v>#REF!</v>
      </c>
      <c r="L1" t="e">
        <f>AND(#REF!,"AAAAAGt/cgs=")</f>
        <v>#REF!</v>
      </c>
      <c r="M1" t="e">
        <f>AND(#REF!,"AAAAAGt/cgw=")</f>
        <v>#REF!</v>
      </c>
      <c r="N1" t="e">
        <f>AND(#REF!,"AAAAAGt/cg0=")</f>
        <v>#REF!</v>
      </c>
      <c r="O1" t="e">
        <f>AND(#REF!,"AAAAAGt/cg4=")</f>
        <v>#REF!</v>
      </c>
      <c r="P1" t="e">
        <f>AND(#REF!,"AAAAAGt/cg8=")</f>
        <v>#REF!</v>
      </c>
      <c r="Q1" t="e">
        <f>AND(#REF!,"AAAAAGt/chA=")</f>
        <v>#REF!</v>
      </c>
      <c r="R1" t="e">
        <f>IF(#REF!,"AAAAAGt/chE=",0)</f>
        <v>#REF!</v>
      </c>
      <c r="S1" t="e">
        <f>AND(#REF!,"AAAAAGt/chI=")</f>
        <v>#REF!</v>
      </c>
      <c r="T1" t="e">
        <f>AND(#REF!,"AAAAAGt/chM=")</f>
        <v>#REF!</v>
      </c>
      <c r="U1" t="e">
        <f>AND(#REF!,"AAAAAGt/chQ=")</f>
        <v>#REF!</v>
      </c>
      <c r="V1" t="e">
        <f>AND(#REF!,"AAAAAGt/chU=")</f>
        <v>#REF!</v>
      </c>
      <c r="W1" t="e">
        <f>AND(#REF!,"AAAAAGt/chY=")</f>
        <v>#REF!</v>
      </c>
      <c r="X1" t="e">
        <f>AND(#REF!,"AAAAAGt/chc=")</f>
        <v>#REF!</v>
      </c>
      <c r="Y1" t="e">
        <f>AND(#REF!,"AAAAAGt/chg=")</f>
        <v>#REF!</v>
      </c>
      <c r="Z1" t="e">
        <f>AND(#REF!,"AAAAAGt/chk=")</f>
        <v>#REF!</v>
      </c>
      <c r="AA1" t="e">
        <f>AND(#REF!,"AAAAAGt/cho=")</f>
        <v>#REF!</v>
      </c>
      <c r="AB1" t="e">
        <f>AND(#REF!,"AAAAAGt/chs=")</f>
        <v>#REF!</v>
      </c>
      <c r="AC1" t="e">
        <f>AND(#REF!,"AAAAAGt/chw=")</f>
        <v>#REF!</v>
      </c>
      <c r="AD1" t="e">
        <f>AND(#REF!,"AAAAAGt/ch0=")</f>
        <v>#REF!</v>
      </c>
      <c r="AE1" t="e">
        <f>AND(#REF!,"AAAAAGt/ch4=")</f>
        <v>#REF!</v>
      </c>
      <c r="AF1" t="e">
        <f>AND(#REF!,"AAAAAGt/ch8=")</f>
        <v>#REF!</v>
      </c>
      <c r="AG1" t="e">
        <f>AND(#REF!,"AAAAAGt/ciA=")</f>
        <v>#REF!</v>
      </c>
      <c r="AH1" t="e">
        <f>AND(#REF!,"AAAAAGt/ciE=")</f>
        <v>#REF!</v>
      </c>
      <c r="AI1" t="e">
        <f>IF(#REF!,"AAAAAGt/ciI=",0)</f>
        <v>#REF!</v>
      </c>
      <c r="AJ1" t="e">
        <f>AND(#REF!,"AAAAAGt/ciM=")</f>
        <v>#REF!</v>
      </c>
      <c r="AK1" t="e">
        <f>AND(#REF!,"AAAAAGt/ciQ=")</f>
        <v>#REF!</v>
      </c>
      <c r="AL1" t="e">
        <f>AND(#REF!,"AAAAAGt/ciU=")</f>
        <v>#REF!</v>
      </c>
      <c r="AM1" t="e">
        <f>AND(#REF!,"AAAAAGt/ciY=")</f>
        <v>#REF!</v>
      </c>
      <c r="AN1" t="e">
        <f>AND(#REF!,"AAAAAGt/cic=")</f>
        <v>#REF!</v>
      </c>
      <c r="AO1" t="e">
        <f>AND(#REF!,"AAAAAGt/cig=")</f>
        <v>#REF!</v>
      </c>
      <c r="AP1" t="e">
        <f>AND(#REF!,"AAAAAGt/cik=")</f>
        <v>#REF!</v>
      </c>
      <c r="AQ1" t="e">
        <f>AND(#REF!,"AAAAAGt/cio=")</f>
        <v>#REF!</v>
      </c>
      <c r="AR1" t="e">
        <f>AND(#REF!,"AAAAAGt/cis=")</f>
        <v>#REF!</v>
      </c>
      <c r="AS1" t="e">
        <f>AND(#REF!,"AAAAAGt/ciw=")</f>
        <v>#REF!</v>
      </c>
      <c r="AT1" t="e">
        <f>AND(#REF!,"AAAAAGt/ci0=")</f>
        <v>#REF!</v>
      </c>
      <c r="AU1" t="e">
        <f>AND(#REF!,"AAAAAGt/ci4=")</f>
        <v>#REF!</v>
      </c>
      <c r="AV1" t="e">
        <f>AND(#REF!,"AAAAAGt/ci8=")</f>
        <v>#REF!</v>
      </c>
      <c r="AW1" t="e">
        <f>AND(#REF!,"AAAAAGt/cjA=")</f>
        <v>#REF!</v>
      </c>
      <c r="AX1" t="e">
        <f>AND(#REF!,"AAAAAGt/cjE=")</f>
        <v>#REF!</v>
      </c>
      <c r="AY1" t="e">
        <f>AND(#REF!,"AAAAAGt/cjI=")</f>
        <v>#REF!</v>
      </c>
      <c r="AZ1" t="e">
        <f>IF(#REF!,"AAAAAGt/cjM=",0)</f>
        <v>#REF!</v>
      </c>
      <c r="BA1" t="e">
        <f>AND(#REF!,"AAAAAGt/cjQ=")</f>
        <v>#REF!</v>
      </c>
      <c r="BB1" t="e">
        <f>AND(#REF!,"AAAAAGt/cjU=")</f>
        <v>#REF!</v>
      </c>
      <c r="BC1" t="e">
        <f>AND(#REF!,"AAAAAGt/cjY=")</f>
        <v>#REF!</v>
      </c>
      <c r="BD1" t="e">
        <f>AND(#REF!,"AAAAAGt/cjc=")</f>
        <v>#REF!</v>
      </c>
      <c r="BE1" t="e">
        <f>AND(#REF!,"AAAAAGt/cjg=")</f>
        <v>#REF!</v>
      </c>
      <c r="BF1" t="e">
        <f>AND(#REF!,"AAAAAGt/cjk=")</f>
        <v>#REF!</v>
      </c>
      <c r="BG1" t="e">
        <f>AND(#REF!,"AAAAAGt/cjo=")</f>
        <v>#REF!</v>
      </c>
      <c r="BH1" t="e">
        <f>AND(#REF!,"AAAAAGt/cjs=")</f>
        <v>#REF!</v>
      </c>
      <c r="BI1" t="e">
        <f>AND(#REF!,"AAAAAGt/cjw=")</f>
        <v>#REF!</v>
      </c>
      <c r="BJ1" t="e">
        <f>AND(#REF!,"AAAAAGt/cj0=")</f>
        <v>#REF!</v>
      </c>
      <c r="BK1" t="e">
        <f>AND(#REF!,"AAAAAGt/cj4=")</f>
        <v>#REF!</v>
      </c>
      <c r="BL1" t="e">
        <f>AND(#REF!,"AAAAAGt/cj8=")</f>
        <v>#REF!</v>
      </c>
      <c r="BM1" t="e">
        <f>AND(#REF!,"AAAAAGt/ckA=")</f>
        <v>#REF!</v>
      </c>
      <c r="BN1" t="e">
        <f>AND(#REF!,"AAAAAGt/ckE=")</f>
        <v>#REF!</v>
      </c>
      <c r="BO1" t="e">
        <f>AND(#REF!,"AAAAAGt/ckI=")</f>
        <v>#REF!</v>
      </c>
      <c r="BP1" t="e">
        <f>AND(#REF!,"AAAAAGt/ckM=")</f>
        <v>#REF!</v>
      </c>
      <c r="BQ1" t="e">
        <f>IF(#REF!,"AAAAAGt/ckQ=",0)</f>
        <v>#REF!</v>
      </c>
      <c r="BR1" t="e">
        <f>AND(#REF!,"AAAAAGt/ckU=")</f>
        <v>#REF!</v>
      </c>
      <c r="BS1" t="e">
        <f>AND(#REF!,"AAAAAGt/ckY=")</f>
        <v>#REF!</v>
      </c>
      <c r="BT1" t="e">
        <f>AND(#REF!,"AAAAAGt/ckc=")</f>
        <v>#REF!</v>
      </c>
      <c r="BU1" t="e">
        <f>AND(#REF!,"AAAAAGt/ckg=")</f>
        <v>#REF!</v>
      </c>
      <c r="BV1" t="e">
        <f>AND(#REF!,"AAAAAGt/ckk=")</f>
        <v>#REF!</v>
      </c>
      <c r="BW1" t="e">
        <f>AND(#REF!,"AAAAAGt/cko=")</f>
        <v>#REF!</v>
      </c>
      <c r="BX1" t="e">
        <f>AND(#REF!,"AAAAAGt/cks=")</f>
        <v>#REF!</v>
      </c>
      <c r="BY1" t="e">
        <f>AND(#REF!,"AAAAAGt/ckw=")</f>
        <v>#REF!</v>
      </c>
      <c r="BZ1" t="e">
        <f>AND(#REF!,"AAAAAGt/ck0=")</f>
        <v>#REF!</v>
      </c>
      <c r="CA1" t="e">
        <f>AND(#REF!,"AAAAAGt/ck4=")</f>
        <v>#REF!</v>
      </c>
      <c r="CB1" t="e">
        <f>AND(#REF!,"AAAAAGt/ck8=")</f>
        <v>#REF!</v>
      </c>
      <c r="CC1" t="e">
        <f>AND(#REF!,"AAAAAGt/clA=")</f>
        <v>#REF!</v>
      </c>
      <c r="CD1" t="e">
        <f>AND(#REF!,"AAAAAGt/clE=")</f>
        <v>#REF!</v>
      </c>
      <c r="CE1" t="e">
        <f>AND(#REF!,"AAAAAGt/clI=")</f>
        <v>#REF!</v>
      </c>
      <c r="CF1" t="e">
        <f>AND(#REF!,"AAAAAGt/clM=")</f>
        <v>#REF!</v>
      </c>
      <c r="CG1" t="e">
        <f>AND(#REF!,"AAAAAGt/clQ=")</f>
        <v>#REF!</v>
      </c>
      <c r="CH1" t="e">
        <f>IF(#REF!,"AAAAAGt/clU=",0)</f>
        <v>#REF!</v>
      </c>
      <c r="CI1" t="e">
        <f>AND(#REF!,"AAAAAGt/clY=")</f>
        <v>#REF!</v>
      </c>
      <c r="CJ1" t="e">
        <f>AND(#REF!,"AAAAAGt/clc=")</f>
        <v>#REF!</v>
      </c>
      <c r="CK1" t="e">
        <f>AND(#REF!,"AAAAAGt/clg=")</f>
        <v>#REF!</v>
      </c>
      <c r="CL1" t="e">
        <f>AND(#REF!,"AAAAAGt/clk=")</f>
        <v>#REF!</v>
      </c>
      <c r="CM1" t="e">
        <f>AND(#REF!,"AAAAAGt/clo=")</f>
        <v>#REF!</v>
      </c>
      <c r="CN1" t="e">
        <f>AND(#REF!,"AAAAAGt/cls=")</f>
        <v>#REF!</v>
      </c>
      <c r="CO1" t="e">
        <f>AND(#REF!,"AAAAAGt/clw=")</f>
        <v>#REF!</v>
      </c>
      <c r="CP1" t="e">
        <f>AND(#REF!,"AAAAAGt/cl0=")</f>
        <v>#REF!</v>
      </c>
      <c r="CQ1" t="e">
        <f>AND(#REF!,"AAAAAGt/cl4=")</f>
        <v>#REF!</v>
      </c>
      <c r="CR1" t="e">
        <f>AND(#REF!,"AAAAAGt/cl8=")</f>
        <v>#REF!</v>
      </c>
      <c r="CS1" t="e">
        <f>AND(#REF!,"AAAAAGt/cmA=")</f>
        <v>#REF!</v>
      </c>
      <c r="CT1" t="e">
        <f>AND(#REF!,"AAAAAGt/cmE=")</f>
        <v>#REF!</v>
      </c>
      <c r="CU1" t="e">
        <f>AND(#REF!,"AAAAAGt/cmI=")</f>
        <v>#REF!</v>
      </c>
      <c r="CV1" t="e">
        <f>AND(#REF!,"AAAAAGt/cmM=")</f>
        <v>#REF!</v>
      </c>
      <c r="CW1" t="e">
        <f>AND(#REF!,"AAAAAGt/cmQ=")</f>
        <v>#REF!</v>
      </c>
      <c r="CX1" t="e">
        <f>AND(#REF!,"AAAAAGt/cmU=")</f>
        <v>#REF!</v>
      </c>
      <c r="CY1" t="e">
        <f>IF(#REF!,"AAAAAGt/cmY=",0)</f>
        <v>#REF!</v>
      </c>
      <c r="CZ1" t="e">
        <f>AND(#REF!,"AAAAAGt/cmc=")</f>
        <v>#REF!</v>
      </c>
      <c r="DA1" t="e">
        <f>AND(#REF!,"AAAAAGt/cmg=")</f>
        <v>#REF!</v>
      </c>
      <c r="DB1" t="e">
        <f>AND(#REF!,"AAAAAGt/cmk=")</f>
        <v>#REF!</v>
      </c>
      <c r="DC1" t="e">
        <f>AND(#REF!,"AAAAAGt/cmo=")</f>
        <v>#REF!</v>
      </c>
      <c r="DD1" t="e">
        <f>AND(#REF!,"AAAAAGt/cms=")</f>
        <v>#REF!</v>
      </c>
      <c r="DE1" t="e">
        <f>AND(#REF!,"AAAAAGt/cmw=")</f>
        <v>#REF!</v>
      </c>
      <c r="DF1" t="e">
        <f>AND(#REF!,"AAAAAGt/cm0=")</f>
        <v>#REF!</v>
      </c>
      <c r="DG1" t="e">
        <f>AND(#REF!,"AAAAAGt/cm4=")</f>
        <v>#REF!</v>
      </c>
      <c r="DH1" t="e">
        <f>AND(#REF!,"AAAAAGt/cm8=")</f>
        <v>#REF!</v>
      </c>
      <c r="DI1" t="e">
        <f>AND(#REF!,"AAAAAGt/cnA=")</f>
        <v>#REF!</v>
      </c>
      <c r="DJ1" t="e">
        <f>AND(#REF!,"AAAAAGt/cnE=")</f>
        <v>#REF!</v>
      </c>
      <c r="DK1" t="e">
        <f>AND(#REF!,"AAAAAGt/cnI=")</f>
        <v>#REF!</v>
      </c>
      <c r="DL1" t="e">
        <f>AND(#REF!,"AAAAAGt/cnM=")</f>
        <v>#REF!</v>
      </c>
      <c r="DM1" t="e">
        <f>AND(#REF!,"AAAAAGt/cnQ=")</f>
        <v>#REF!</v>
      </c>
      <c r="DN1" t="e">
        <f>AND(#REF!,"AAAAAGt/cnU=")</f>
        <v>#REF!</v>
      </c>
      <c r="DO1" t="e">
        <f>AND(#REF!,"AAAAAGt/cnY=")</f>
        <v>#REF!</v>
      </c>
      <c r="DP1" t="e">
        <f>IF(#REF!,"AAAAAGt/cnc=",0)</f>
        <v>#REF!</v>
      </c>
      <c r="DQ1" t="e">
        <f>AND(#REF!,"AAAAAGt/cng=")</f>
        <v>#REF!</v>
      </c>
      <c r="DR1" t="e">
        <f>AND(#REF!,"AAAAAGt/cnk=")</f>
        <v>#REF!</v>
      </c>
      <c r="DS1" t="e">
        <f>AND(#REF!,"AAAAAGt/cno=")</f>
        <v>#REF!</v>
      </c>
      <c r="DT1" t="e">
        <f>AND(#REF!,"AAAAAGt/cns=")</f>
        <v>#REF!</v>
      </c>
      <c r="DU1" t="e">
        <f>AND(#REF!,"AAAAAGt/cnw=")</f>
        <v>#REF!</v>
      </c>
      <c r="DV1" t="e">
        <f>AND(#REF!,"AAAAAGt/cn0=")</f>
        <v>#REF!</v>
      </c>
      <c r="DW1" t="e">
        <f>AND(#REF!,"AAAAAGt/cn4=")</f>
        <v>#REF!</v>
      </c>
      <c r="DX1" t="e">
        <f>AND(#REF!,"AAAAAGt/cn8=")</f>
        <v>#REF!</v>
      </c>
      <c r="DY1" t="e">
        <f>AND(#REF!,"AAAAAGt/coA=")</f>
        <v>#REF!</v>
      </c>
      <c r="DZ1" t="e">
        <f>AND(#REF!,"AAAAAGt/coE=")</f>
        <v>#REF!</v>
      </c>
      <c r="EA1" t="e">
        <f>AND(#REF!,"AAAAAGt/coI=")</f>
        <v>#REF!</v>
      </c>
      <c r="EB1" t="e">
        <f>AND(#REF!,"AAAAAGt/coM=")</f>
        <v>#REF!</v>
      </c>
      <c r="EC1" t="e">
        <f>AND(#REF!,"AAAAAGt/coQ=")</f>
        <v>#REF!</v>
      </c>
      <c r="ED1" t="e">
        <f>AND(#REF!,"AAAAAGt/coU=")</f>
        <v>#REF!</v>
      </c>
      <c r="EE1" t="e">
        <f>AND(#REF!,"AAAAAGt/coY=")</f>
        <v>#REF!</v>
      </c>
      <c r="EF1" t="e">
        <f>AND(#REF!,"AAAAAGt/coc=")</f>
        <v>#REF!</v>
      </c>
      <c r="EG1" t="e">
        <f>IF(#REF!,"AAAAAGt/cog=",0)</f>
        <v>#REF!</v>
      </c>
      <c r="EH1" t="e">
        <f>AND(#REF!,"AAAAAGt/cok=")</f>
        <v>#REF!</v>
      </c>
      <c r="EI1" t="e">
        <f>AND(#REF!,"AAAAAGt/coo=")</f>
        <v>#REF!</v>
      </c>
      <c r="EJ1" t="e">
        <f>AND(#REF!,"AAAAAGt/cos=")</f>
        <v>#REF!</v>
      </c>
      <c r="EK1" t="e">
        <f>AND(#REF!,"AAAAAGt/cow=")</f>
        <v>#REF!</v>
      </c>
      <c r="EL1" t="e">
        <f>AND(#REF!,"AAAAAGt/co0=")</f>
        <v>#REF!</v>
      </c>
      <c r="EM1" t="e">
        <f>AND(#REF!,"AAAAAGt/co4=")</f>
        <v>#REF!</v>
      </c>
      <c r="EN1" t="e">
        <f>AND(#REF!,"AAAAAGt/co8=")</f>
        <v>#REF!</v>
      </c>
      <c r="EO1" t="e">
        <f>AND(#REF!,"AAAAAGt/cpA=")</f>
        <v>#REF!</v>
      </c>
      <c r="EP1" t="e">
        <f>AND(#REF!,"AAAAAGt/cpE=")</f>
        <v>#REF!</v>
      </c>
      <c r="EQ1" t="e">
        <f>AND(#REF!,"AAAAAGt/cpI=")</f>
        <v>#REF!</v>
      </c>
      <c r="ER1" t="e">
        <f>AND(#REF!,"AAAAAGt/cpM=")</f>
        <v>#REF!</v>
      </c>
      <c r="ES1" t="e">
        <f>AND(#REF!,"AAAAAGt/cpQ=")</f>
        <v>#REF!</v>
      </c>
      <c r="ET1" t="e">
        <f>AND(#REF!,"AAAAAGt/cpU=")</f>
        <v>#REF!</v>
      </c>
      <c r="EU1" t="e">
        <f>AND(#REF!,"AAAAAGt/cpY=")</f>
        <v>#REF!</v>
      </c>
      <c r="EV1" t="e">
        <f>AND(#REF!,"AAAAAGt/cpc=")</f>
        <v>#REF!</v>
      </c>
      <c r="EW1" t="e">
        <f>AND(#REF!,"AAAAAGt/cpg=")</f>
        <v>#REF!</v>
      </c>
      <c r="EX1" t="e">
        <f>IF(#REF!,"AAAAAGt/cpk=",0)</f>
        <v>#REF!</v>
      </c>
      <c r="EY1" t="e">
        <f>AND(#REF!,"AAAAAGt/cpo=")</f>
        <v>#REF!</v>
      </c>
      <c r="EZ1" t="e">
        <f>AND(#REF!,"AAAAAGt/cps=")</f>
        <v>#REF!</v>
      </c>
      <c r="FA1" t="e">
        <f>AND(#REF!,"AAAAAGt/cpw=")</f>
        <v>#REF!</v>
      </c>
      <c r="FB1" t="e">
        <f>AND(#REF!,"AAAAAGt/cp0=")</f>
        <v>#REF!</v>
      </c>
      <c r="FC1" t="e">
        <f>AND(#REF!,"AAAAAGt/cp4=")</f>
        <v>#REF!</v>
      </c>
      <c r="FD1" t="e">
        <f>AND(#REF!,"AAAAAGt/cp8=")</f>
        <v>#REF!</v>
      </c>
      <c r="FE1" t="e">
        <f>AND(#REF!,"AAAAAGt/cqA=")</f>
        <v>#REF!</v>
      </c>
      <c r="FF1" t="e">
        <f>AND(#REF!,"AAAAAGt/cqE=")</f>
        <v>#REF!</v>
      </c>
      <c r="FG1" t="e">
        <f>AND(#REF!,"AAAAAGt/cqI=")</f>
        <v>#REF!</v>
      </c>
      <c r="FH1" t="e">
        <f>AND(#REF!,"AAAAAGt/cqM=")</f>
        <v>#REF!</v>
      </c>
      <c r="FI1" t="e">
        <f>AND(#REF!,"AAAAAGt/cqQ=")</f>
        <v>#REF!</v>
      </c>
      <c r="FJ1" t="e">
        <f>AND(#REF!,"AAAAAGt/cqU=")</f>
        <v>#REF!</v>
      </c>
      <c r="FK1" t="e">
        <f>AND(#REF!,"AAAAAGt/cqY=")</f>
        <v>#REF!</v>
      </c>
      <c r="FL1" t="e">
        <f>AND(#REF!,"AAAAAGt/cqc=")</f>
        <v>#REF!</v>
      </c>
      <c r="FM1" t="e">
        <f>AND(#REF!,"AAAAAGt/cqg=")</f>
        <v>#REF!</v>
      </c>
      <c r="FN1" t="e">
        <f>AND(#REF!,"AAAAAGt/cqk=")</f>
        <v>#REF!</v>
      </c>
      <c r="FO1" t="e">
        <f>IF(#REF!,"AAAAAGt/cqo=",0)</f>
        <v>#REF!</v>
      </c>
      <c r="FP1" t="e">
        <f>AND(#REF!,"AAAAAGt/cqs=")</f>
        <v>#REF!</v>
      </c>
      <c r="FQ1" t="e">
        <f>AND(#REF!,"AAAAAGt/cqw=")</f>
        <v>#REF!</v>
      </c>
      <c r="FR1" t="e">
        <f>AND(#REF!,"AAAAAGt/cq0=")</f>
        <v>#REF!</v>
      </c>
      <c r="FS1" t="e">
        <f>AND(#REF!,"AAAAAGt/cq4=")</f>
        <v>#REF!</v>
      </c>
      <c r="FT1" t="e">
        <f>AND(#REF!,"AAAAAGt/cq8=")</f>
        <v>#REF!</v>
      </c>
      <c r="FU1" t="e">
        <f>AND(#REF!,"AAAAAGt/crA=")</f>
        <v>#REF!</v>
      </c>
      <c r="FV1" t="e">
        <f>AND(#REF!,"AAAAAGt/crE=")</f>
        <v>#REF!</v>
      </c>
      <c r="FW1" t="e">
        <f>AND(#REF!,"AAAAAGt/crI=")</f>
        <v>#REF!</v>
      </c>
      <c r="FX1" t="e">
        <f>AND(#REF!,"AAAAAGt/crM=")</f>
        <v>#REF!</v>
      </c>
      <c r="FY1" t="e">
        <f>AND(#REF!,"AAAAAGt/crQ=")</f>
        <v>#REF!</v>
      </c>
      <c r="FZ1" t="e">
        <f>AND(#REF!,"AAAAAGt/crU=")</f>
        <v>#REF!</v>
      </c>
      <c r="GA1" t="e">
        <f>AND(#REF!,"AAAAAGt/crY=")</f>
        <v>#REF!</v>
      </c>
      <c r="GB1" t="e">
        <f>AND(#REF!,"AAAAAGt/crc=")</f>
        <v>#REF!</v>
      </c>
      <c r="GC1" t="e">
        <f>AND(#REF!,"AAAAAGt/crg=")</f>
        <v>#REF!</v>
      </c>
      <c r="GD1" t="e">
        <f>AND(#REF!,"AAAAAGt/crk=")</f>
        <v>#REF!</v>
      </c>
      <c r="GE1" t="e">
        <f>AND(#REF!,"AAAAAGt/cro=")</f>
        <v>#REF!</v>
      </c>
      <c r="GF1" t="e">
        <f>IF(#REF!,"AAAAAGt/crs=",0)</f>
        <v>#REF!</v>
      </c>
      <c r="GG1" t="e">
        <f>AND(#REF!,"AAAAAGt/crw=")</f>
        <v>#REF!</v>
      </c>
      <c r="GH1" t="e">
        <f>AND(#REF!,"AAAAAGt/cr0=")</f>
        <v>#REF!</v>
      </c>
      <c r="GI1" t="e">
        <f>AND(#REF!,"AAAAAGt/cr4=")</f>
        <v>#REF!</v>
      </c>
      <c r="GJ1" t="e">
        <f>AND(#REF!,"AAAAAGt/cr8=")</f>
        <v>#REF!</v>
      </c>
      <c r="GK1" t="e">
        <f>AND(#REF!,"AAAAAGt/csA=")</f>
        <v>#REF!</v>
      </c>
      <c r="GL1" t="e">
        <f>AND(#REF!,"AAAAAGt/csE=")</f>
        <v>#REF!</v>
      </c>
      <c r="GM1" t="e">
        <f>AND(#REF!,"AAAAAGt/csI=")</f>
        <v>#REF!</v>
      </c>
      <c r="GN1" t="e">
        <f>AND(#REF!,"AAAAAGt/csM=")</f>
        <v>#REF!</v>
      </c>
      <c r="GO1" t="e">
        <f>AND(#REF!,"AAAAAGt/csQ=")</f>
        <v>#REF!</v>
      </c>
      <c r="GP1" t="e">
        <f>AND(#REF!,"AAAAAGt/csU=")</f>
        <v>#REF!</v>
      </c>
      <c r="GQ1" t="e">
        <f>AND(#REF!,"AAAAAGt/csY=")</f>
        <v>#REF!</v>
      </c>
      <c r="GR1" t="e">
        <f>AND(#REF!,"AAAAAGt/csc=")</f>
        <v>#REF!</v>
      </c>
      <c r="GS1" t="e">
        <f>AND(#REF!,"AAAAAGt/csg=")</f>
        <v>#REF!</v>
      </c>
      <c r="GT1" t="e">
        <f>AND(#REF!,"AAAAAGt/csk=")</f>
        <v>#REF!</v>
      </c>
      <c r="GU1" t="e">
        <f>AND(#REF!,"AAAAAGt/cso=")</f>
        <v>#REF!</v>
      </c>
      <c r="GV1" t="e">
        <f>AND(#REF!,"AAAAAGt/css=")</f>
        <v>#REF!</v>
      </c>
      <c r="GW1" t="e">
        <f>IF(#REF!,"AAAAAGt/csw=",0)</f>
        <v>#REF!</v>
      </c>
      <c r="GX1" t="e">
        <f>AND(#REF!,"AAAAAGt/cs0=")</f>
        <v>#REF!</v>
      </c>
      <c r="GY1" t="e">
        <f>AND(#REF!,"AAAAAGt/cs4=")</f>
        <v>#REF!</v>
      </c>
      <c r="GZ1" t="e">
        <f>AND(#REF!,"AAAAAGt/cs8=")</f>
        <v>#REF!</v>
      </c>
      <c r="HA1" t="e">
        <f>AND(#REF!,"AAAAAGt/ctA=")</f>
        <v>#REF!</v>
      </c>
      <c r="HB1" t="e">
        <f>AND(#REF!,"AAAAAGt/ctE=")</f>
        <v>#REF!</v>
      </c>
      <c r="HC1" t="e">
        <f>AND(#REF!,"AAAAAGt/ctI=")</f>
        <v>#REF!</v>
      </c>
      <c r="HD1" t="e">
        <f>AND(#REF!,"AAAAAGt/ctM=")</f>
        <v>#REF!</v>
      </c>
      <c r="HE1" t="e">
        <f>AND(#REF!,"AAAAAGt/ctQ=")</f>
        <v>#REF!</v>
      </c>
      <c r="HF1" t="e">
        <f>AND(#REF!,"AAAAAGt/ctU=")</f>
        <v>#REF!</v>
      </c>
      <c r="HG1" t="e">
        <f>AND(#REF!,"AAAAAGt/ctY=")</f>
        <v>#REF!</v>
      </c>
      <c r="HH1" t="e">
        <f>AND(#REF!,"AAAAAGt/ctc=")</f>
        <v>#REF!</v>
      </c>
      <c r="HI1" t="e">
        <f>AND(#REF!,"AAAAAGt/ctg=")</f>
        <v>#REF!</v>
      </c>
      <c r="HJ1" t="e">
        <f>AND(#REF!,"AAAAAGt/ctk=")</f>
        <v>#REF!</v>
      </c>
      <c r="HK1" t="e">
        <f>AND(#REF!,"AAAAAGt/cto=")</f>
        <v>#REF!</v>
      </c>
      <c r="HL1" t="e">
        <f>AND(#REF!,"AAAAAGt/cts=")</f>
        <v>#REF!</v>
      </c>
      <c r="HM1" t="e">
        <f>AND(#REF!,"AAAAAGt/ctw=")</f>
        <v>#REF!</v>
      </c>
      <c r="HN1" t="e">
        <f>IF(#REF!,"AAAAAGt/ct0=",0)</f>
        <v>#REF!</v>
      </c>
      <c r="HO1" t="e">
        <f>AND(#REF!,"AAAAAGt/ct4=")</f>
        <v>#REF!</v>
      </c>
      <c r="HP1" t="e">
        <f>AND(#REF!,"AAAAAGt/ct8=")</f>
        <v>#REF!</v>
      </c>
      <c r="HQ1" t="e">
        <f>AND(#REF!,"AAAAAGt/cuA=")</f>
        <v>#REF!</v>
      </c>
      <c r="HR1" t="e">
        <f>AND(#REF!,"AAAAAGt/cuE=")</f>
        <v>#REF!</v>
      </c>
      <c r="HS1" t="e">
        <f>AND(#REF!,"AAAAAGt/cuI=")</f>
        <v>#REF!</v>
      </c>
      <c r="HT1" t="e">
        <f>AND(#REF!,"AAAAAGt/cuM=")</f>
        <v>#REF!</v>
      </c>
      <c r="HU1" t="e">
        <f>AND(#REF!,"AAAAAGt/cuQ=")</f>
        <v>#REF!</v>
      </c>
      <c r="HV1" t="e">
        <f>AND(#REF!,"AAAAAGt/cuU=")</f>
        <v>#REF!</v>
      </c>
      <c r="HW1" t="e">
        <f>AND(#REF!,"AAAAAGt/cuY=")</f>
        <v>#REF!</v>
      </c>
      <c r="HX1" t="e">
        <f>AND(#REF!,"AAAAAGt/cuc=")</f>
        <v>#REF!</v>
      </c>
      <c r="HY1" t="e">
        <f>AND(#REF!,"AAAAAGt/cug=")</f>
        <v>#REF!</v>
      </c>
      <c r="HZ1" t="e">
        <f>AND(#REF!,"AAAAAGt/cuk=")</f>
        <v>#REF!</v>
      </c>
      <c r="IA1" t="e">
        <f>AND(#REF!,"AAAAAGt/cuo=")</f>
        <v>#REF!</v>
      </c>
      <c r="IB1" t="e">
        <f>AND(#REF!,"AAAAAGt/cus=")</f>
        <v>#REF!</v>
      </c>
      <c r="IC1" t="e">
        <f>AND(#REF!,"AAAAAGt/cuw=")</f>
        <v>#REF!</v>
      </c>
      <c r="ID1" t="e">
        <f>AND(#REF!,"AAAAAGt/cu0=")</f>
        <v>#REF!</v>
      </c>
      <c r="IE1" t="e">
        <f>IF(#REF!,"AAAAAGt/cu4=",0)</f>
        <v>#REF!</v>
      </c>
      <c r="IF1" t="e">
        <f>AND(#REF!,"AAAAAGt/cu8=")</f>
        <v>#REF!</v>
      </c>
      <c r="IG1" t="e">
        <f>AND(#REF!,"AAAAAGt/cvA=")</f>
        <v>#REF!</v>
      </c>
      <c r="IH1" t="e">
        <f>AND(#REF!,"AAAAAGt/cvE=")</f>
        <v>#REF!</v>
      </c>
      <c r="II1" t="e">
        <f>AND(#REF!,"AAAAAGt/cvI=")</f>
        <v>#REF!</v>
      </c>
      <c r="IJ1" t="e">
        <f>AND(#REF!,"AAAAAGt/cvM=")</f>
        <v>#REF!</v>
      </c>
      <c r="IK1" t="e">
        <f>AND(#REF!,"AAAAAGt/cvQ=")</f>
        <v>#REF!</v>
      </c>
      <c r="IL1" t="e">
        <f>AND(#REF!,"AAAAAGt/cvU=")</f>
        <v>#REF!</v>
      </c>
      <c r="IM1" t="e">
        <f>AND(#REF!,"AAAAAGt/cvY=")</f>
        <v>#REF!</v>
      </c>
      <c r="IN1" t="e">
        <f>AND(#REF!,"AAAAAGt/cvc=")</f>
        <v>#REF!</v>
      </c>
      <c r="IO1" t="e">
        <f>AND(#REF!,"AAAAAGt/cvg=")</f>
        <v>#REF!</v>
      </c>
      <c r="IP1" t="e">
        <f>AND(#REF!,"AAAAAGt/cvk=")</f>
        <v>#REF!</v>
      </c>
      <c r="IQ1" t="e">
        <f>AND(#REF!,"AAAAAGt/cvo=")</f>
        <v>#REF!</v>
      </c>
      <c r="IR1" t="e">
        <f>AND(#REF!,"AAAAAGt/cvs=")</f>
        <v>#REF!</v>
      </c>
      <c r="IS1" t="e">
        <f>AND(#REF!,"AAAAAGt/cvw=")</f>
        <v>#REF!</v>
      </c>
      <c r="IT1" t="e">
        <f>AND(#REF!,"AAAAAGt/cv0=")</f>
        <v>#REF!</v>
      </c>
      <c r="IU1" t="e">
        <f>AND(#REF!,"AAAAAGt/cv4=")</f>
        <v>#REF!</v>
      </c>
      <c r="IV1" t="e">
        <f>IF(#REF!,"AAAAAGt/cv8=",0)</f>
        <v>#REF!</v>
      </c>
    </row>
    <row r="2" spans="1:256" ht="15">
      <c r="A2" t="e">
        <f>AND(#REF!,"AAAAAH1/3wA=")</f>
        <v>#REF!</v>
      </c>
      <c r="B2" t="e">
        <f>AND(#REF!,"AAAAAH1/3wE=")</f>
        <v>#REF!</v>
      </c>
      <c r="C2" t="e">
        <f>AND(#REF!,"AAAAAH1/3wI=")</f>
        <v>#REF!</v>
      </c>
      <c r="D2" t="e">
        <f>AND(#REF!,"AAAAAH1/3wM=")</f>
        <v>#REF!</v>
      </c>
      <c r="E2" t="e">
        <f>AND(#REF!,"AAAAAH1/3wQ=")</f>
        <v>#REF!</v>
      </c>
      <c r="F2" t="e">
        <f>AND(#REF!,"AAAAAH1/3wU=")</f>
        <v>#REF!</v>
      </c>
      <c r="G2" t="e">
        <f>AND(#REF!,"AAAAAH1/3wY=")</f>
        <v>#REF!</v>
      </c>
      <c r="H2" t="e">
        <f>AND(#REF!,"AAAAAH1/3wc=")</f>
        <v>#REF!</v>
      </c>
      <c r="I2" t="e">
        <f>AND(#REF!,"AAAAAH1/3wg=")</f>
        <v>#REF!</v>
      </c>
      <c r="J2" t="e">
        <f>AND(#REF!,"AAAAAH1/3wk=")</f>
        <v>#REF!</v>
      </c>
      <c r="K2" t="e">
        <f>AND(#REF!,"AAAAAH1/3wo=")</f>
        <v>#REF!</v>
      </c>
      <c r="L2" t="e">
        <f>AND(#REF!,"AAAAAH1/3ws=")</f>
        <v>#REF!</v>
      </c>
      <c r="M2" t="e">
        <f>AND(#REF!,"AAAAAH1/3ww=")</f>
        <v>#REF!</v>
      </c>
      <c r="N2" t="e">
        <f>AND(#REF!,"AAAAAH1/3w0=")</f>
        <v>#REF!</v>
      </c>
      <c r="O2" t="e">
        <f>AND(#REF!,"AAAAAH1/3w4=")</f>
        <v>#REF!</v>
      </c>
      <c r="P2" t="e">
        <f>AND(#REF!,"AAAAAH1/3w8=")</f>
        <v>#REF!</v>
      </c>
      <c r="Q2" t="e">
        <f>IF(#REF!,"AAAAAH1/3xA=",0)</f>
        <v>#REF!</v>
      </c>
      <c r="R2" t="e">
        <f>AND(#REF!,"AAAAAH1/3xE=")</f>
        <v>#REF!</v>
      </c>
      <c r="S2" t="e">
        <f>AND(#REF!,"AAAAAH1/3xI=")</f>
        <v>#REF!</v>
      </c>
      <c r="T2" t="e">
        <f>AND(#REF!,"AAAAAH1/3xM=")</f>
        <v>#REF!</v>
      </c>
      <c r="U2" t="e">
        <f>AND(#REF!,"AAAAAH1/3xQ=")</f>
        <v>#REF!</v>
      </c>
      <c r="V2" t="e">
        <f>AND(#REF!,"AAAAAH1/3xU=")</f>
        <v>#REF!</v>
      </c>
      <c r="W2" t="e">
        <f>AND(#REF!,"AAAAAH1/3xY=")</f>
        <v>#REF!</v>
      </c>
      <c r="X2" t="e">
        <f>AND(#REF!,"AAAAAH1/3xc=")</f>
        <v>#REF!</v>
      </c>
      <c r="Y2" t="e">
        <f>AND(#REF!,"AAAAAH1/3xg=")</f>
        <v>#REF!</v>
      </c>
      <c r="Z2" t="e">
        <f>AND(#REF!,"AAAAAH1/3xk=")</f>
        <v>#REF!</v>
      </c>
      <c r="AA2" t="e">
        <f>AND(#REF!,"AAAAAH1/3xo=")</f>
        <v>#REF!</v>
      </c>
      <c r="AB2" t="e">
        <f>AND(#REF!,"AAAAAH1/3xs=")</f>
        <v>#REF!</v>
      </c>
      <c r="AC2" t="e">
        <f>AND(#REF!,"AAAAAH1/3xw=")</f>
        <v>#REF!</v>
      </c>
      <c r="AD2" t="e">
        <f>AND(#REF!,"AAAAAH1/3x0=")</f>
        <v>#REF!</v>
      </c>
      <c r="AE2" t="e">
        <f>AND(#REF!,"AAAAAH1/3x4=")</f>
        <v>#REF!</v>
      </c>
      <c r="AF2" t="e">
        <f>AND(#REF!,"AAAAAH1/3x8=")</f>
        <v>#REF!</v>
      </c>
      <c r="AG2" t="e">
        <f>AND(#REF!,"AAAAAH1/3yA=")</f>
        <v>#REF!</v>
      </c>
      <c r="AH2" t="e">
        <f>IF(#REF!,"AAAAAH1/3yE=",0)</f>
        <v>#REF!</v>
      </c>
      <c r="AI2" t="e">
        <f>AND(#REF!,"AAAAAH1/3yI=")</f>
        <v>#REF!</v>
      </c>
      <c r="AJ2" t="e">
        <f>AND(#REF!,"AAAAAH1/3yM=")</f>
        <v>#REF!</v>
      </c>
      <c r="AK2" t="e">
        <f>AND(#REF!,"AAAAAH1/3yQ=")</f>
        <v>#REF!</v>
      </c>
      <c r="AL2" t="e">
        <f>AND(#REF!,"AAAAAH1/3yU=")</f>
        <v>#REF!</v>
      </c>
      <c r="AM2" t="e">
        <f>AND(#REF!,"AAAAAH1/3yY=")</f>
        <v>#REF!</v>
      </c>
      <c r="AN2" t="e">
        <f>AND(#REF!,"AAAAAH1/3yc=")</f>
        <v>#REF!</v>
      </c>
      <c r="AO2" t="e">
        <f>AND(#REF!,"AAAAAH1/3yg=")</f>
        <v>#REF!</v>
      </c>
      <c r="AP2" t="e">
        <f>AND(#REF!,"AAAAAH1/3yk=")</f>
        <v>#REF!</v>
      </c>
      <c r="AQ2" t="e">
        <f>AND(#REF!,"AAAAAH1/3yo=")</f>
        <v>#REF!</v>
      </c>
      <c r="AR2" t="e">
        <f>AND(#REF!,"AAAAAH1/3ys=")</f>
        <v>#REF!</v>
      </c>
      <c r="AS2" t="e">
        <f>AND(#REF!,"AAAAAH1/3yw=")</f>
        <v>#REF!</v>
      </c>
      <c r="AT2" t="e">
        <f>AND(#REF!,"AAAAAH1/3y0=")</f>
        <v>#REF!</v>
      </c>
      <c r="AU2" t="e">
        <f>AND(#REF!,"AAAAAH1/3y4=")</f>
        <v>#REF!</v>
      </c>
      <c r="AV2" t="e">
        <f>AND(#REF!,"AAAAAH1/3y8=")</f>
        <v>#REF!</v>
      </c>
      <c r="AW2" t="e">
        <f>AND(#REF!,"AAAAAH1/3zA=")</f>
        <v>#REF!</v>
      </c>
      <c r="AX2" t="e">
        <f>AND(#REF!,"AAAAAH1/3zE=")</f>
        <v>#REF!</v>
      </c>
      <c r="AY2" t="e">
        <f>IF(#REF!,"AAAAAH1/3zI=",0)</f>
        <v>#REF!</v>
      </c>
      <c r="AZ2" t="e">
        <f>AND(#REF!,"AAAAAH1/3zM=")</f>
        <v>#REF!</v>
      </c>
      <c r="BA2" t="e">
        <f>AND(#REF!,"AAAAAH1/3zQ=")</f>
        <v>#REF!</v>
      </c>
      <c r="BB2" t="e">
        <f>AND(#REF!,"AAAAAH1/3zU=")</f>
        <v>#REF!</v>
      </c>
      <c r="BC2" t="e">
        <f>AND(#REF!,"AAAAAH1/3zY=")</f>
        <v>#REF!</v>
      </c>
      <c r="BD2" t="e">
        <f>AND(#REF!,"AAAAAH1/3zc=")</f>
        <v>#REF!</v>
      </c>
      <c r="BE2" t="e">
        <f>AND(#REF!,"AAAAAH1/3zg=")</f>
        <v>#REF!</v>
      </c>
      <c r="BF2" t="e">
        <f>AND(#REF!,"AAAAAH1/3zk=")</f>
        <v>#REF!</v>
      </c>
      <c r="BG2" t="e">
        <f>AND(#REF!,"AAAAAH1/3zo=")</f>
        <v>#REF!</v>
      </c>
      <c r="BH2" t="e">
        <f>AND(#REF!,"AAAAAH1/3zs=")</f>
        <v>#REF!</v>
      </c>
      <c r="BI2" t="e">
        <f>AND(#REF!,"AAAAAH1/3zw=")</f>
        <v>#REF!</v>
      </c>
      <c r="BJ2" t="e">
        <f>AND(#REF!,"AAAAAH1/3z0=")</f>
        <v>#REF!</v>
      </c>
      <c r="BK2" t="e">
        <f>AND(#REF!,"AAAAAH1/3z4=")</f>
        <v>#REF!</v>
      </c>
      <c r="BL2" t="e">
        <f>AND(#REF!,"AAAAAH1/3z8=")</f>
        <v>#REF!</v>
      </c>
      <c r="BM2" t="e">
        <f>AND(#REF!,"AAAAAH1/30A=")</f>
        <v>#REF!</v>
      </c>
      <c r="BN2" t="e">
        <f>AND(#REF!,"AAAAAH1/30E=")</f>
        <v>#REF!</v>
      </c>
      <c r="BO2" t="e">
        <f>AND(#REF!,"AAAAAH1/30I=")</f>
        <v>#REF!</v>
      </c>
      <c r="BP2" t="e">
        <f>IF(#REF!,"AAAAAH1/30M=",0)</f>
        <v>#REF!</v>
      </c>
      <c r="BQ2" t="e">
        <f>AND(#REF!,"AAAAAH1/30Q=")</f>
        <v>#REF!</v>
      </c>
      <c r="BR2" t="e">
        <f>AND(#REF!,"AAAAAH1/30U=")</f>
        <v>#REF!</v>
      </c>
      <c r="BS2" t="e">
        <f>AND(#REF!,"AAAAAH1/30Y=")</f>
        <v>#REF!</v>
      </c>
      <c r="BT2" t="e">
        <f>AND(#REF!,"AAAAAH1/30c=")</f>
        <v>#REF!</v>
      </c>
      <c r="BU2" t="e">
        <f>AND(#REF!,"AAAAAH1/30g=")</f>
        <v>#REF!</v>
      </c>
      <c r="BV2" t="e">
        <f>AND(#REF!,"AAAAAH1/30k=")</f>
        <v>#REF!</v>
      </c>
      <c r="BW2" t="e">
        <f>AND(#REF!,"AAAAAH1/30o=")</f>
        <v>#REF!</v>
      </c>
      <c r="BX2" t="e">
        <f>AND(#REF!,"AAAAAH1/30s=")</f>
        <v>#REF!</v>
      </c>
      <c r="BY2" t="e">
        <f>AND(#REF!,"AAAAAH1/30w=")</f>
        <v>#REF!</v>
      </c>
      <c r="BZ2" t="e">
        <f>AND(#REF!,"AAAAAH1/300=")</f>
        <v>#REF!</v>
      </c>
      <c r="CA2" t="e">
        <f>AND(#REF!,"AAAAAH1/304=")</f>
        <v>#REF!</v>
      </c>
      <c r="CB2" t="e">
        <f>AND(#REF!,"AAAAAH1/308=")</f>
        <v>#REF!</v>
      </c>
      <c r="CC2" t="e">
        <f>AND(#REF!,"AAAAAH1/31A=")</f>
        <v>#REF!</v>
      </c>
      <c r="CD2" t="e">
        <f>AND(#REF!,"AAAAAH1/31E=")</f>
        <v>#REF!</v>
      </c>
      <c r="CE2" t="e">
        <f>AND(#REF!,"AAAAAH1/31I=")</f>
        <v>#REF!</v>
      </c>
      <c r="CF2" t="e">
        <f>AND(#REF!,"AAAAAH1/31M=")</f>
        <v>#REF!</v>
      </c>
      <c r="CG2" t="e">
        <f>IF(#REF!,"AAAAAH1/31Q=",0)</f>
        <v>#REF!</v>
      </c>
      <c r="CH2" t="e">
        <f>AND(#REF!,"AAAAAH1/31U=")</f>
        <v>#REF!</v>
      </c>
      <c r="CI2" t="e">
        <f>AND(#REF!,"AAAAAH1/31Y=")</f>
        <v>#REF!</v>
      </c>
      <c r="CJ2" t="e">
        <f>AND(#REF!,"AAAAAH1/31c=")</f>
        <v>#REF!</v>
      </c>
      <c r="CK2" t="e">
        <f>AND(#REF!,"AAAAAH1/31g=")</f>
        <v>#REF!</v>
      </c>
      <c r="CL2" t="e">
        <f>AND(#REF!,"AAAAAH1/31k=")</f>
        <v>#REF!</v>
      </c>
      <c r="CM2" t="e">
        <f>AND(#REF!,"AAAAAH1/31o=")</f>
        <v>#REF!</v>
      </c>
      <c r="CN2" t="e">
        <f>AND(#REF!,"AAAAAH1/31s=")</f>
        <v>#REF!</v>
      </c>
      <c r="CO2" t="e">
        <f>AND(#REF!,"AAAAAH1/31w=")</f>
        <v>#REF!</v>
      </c>
      <c r="CP2" t="e">
        <f>AND(#REF!,"AAAAAH1/310=")</f>
        <v>#REF!</v>
      </c>
      <c r="CQ2" t="e">
        <f>AND(#REF!,"AAAAAH1/314=")</f>
        <v>#REF!</v>
      </c>
      <c r="CR2" t="e">
        <f>AND(#REF!,"AAAAAH1/318=")</f>
        <v>#REF!</v>
      </c>
      <c r="CS2" t="e">
        <f>AND(#REF!,"AAAAAH1/32A=")</f>
        <v>#REF!</v>
      </c>
      <c r="CT2" t="e">
        <f>AND(#REF!,"AAAAAH1/32E=")</f>
        <v>#REF!</v>
      </c>
      <c r="CU2" t="e">
        <f>AND(#REF!,"AAAAAH1/32I=")</f>
        <v>#REF!</v>
      </c>
      <c r="CV2" t="e">
        <f>AND(#REF!,"AAAAAH1/32M=")</f>
        <v>#REF!</v>
      </c>
      <c r="CW2" t="e">
        <f>AND(#REF!,"AAAAAH1/32Q=")</f>
        <v>#REF!</v>
      </c>
      <c r="CX2" t="e">
        <f>IF(#REF!,"AAAAAH1/32U=",0)</f>
        <v>#REF!</v>
      </c>
      <c r="CY2" t="e">
        <f>IF(#REF!,"AAAAAH1/32Y=",0)</f>
        <v>#REF!</v>
      </c>
      <c r="CZ2" t="e">
        <f>IF(#REF!,"AAAAAH1/32c=",0)</f>
        <v>#REF!</v>
      </c>
      <c r="DA2" t="e">
        <f>IF(#REF!,"AAAAAH1/32g=",0)</f>
        <v>#REF!</v>
      </c>
      <c r="DB2" t="e">
        <f>IF(#REF!,"AAAAAH1/32k=",0)</f>
        <v>#REF!</v>
      </c>
      <c r="DC2" t="e">
        <f>IF(#REF!,"AAAAAH1/32o=",0)</f>
        <v>#REF!</v>
      </c>
      <c r="DD2" t="e">
        <f>IF(#REF!,"AAAAAH1/32s=",0)</f>
        <v>#REF!</v>
      </c>
      <c r="DE2" t="e">
        <f>IF(#REF!,"AAAAAH1/32w=",0)</f>
        <v>#REF!</v>
      </c>
      <c r="DF2" t="e">
        <f>IF(#REF!,"AAAAAH1/320=",0)</f>
        <v>#REF!</v>
      </c>
      <c r="DG2" t="e">
        <f>IF(#REF!,"AAAAAH1/324=",0)</f>
        <v>#REF!</v>
      </c>
      <c r="DH2" t="e">
        <f>IF(#REF!,"AAAAAH1/328=",0)</f>
        <v>#REF!</v>
      </c>
      <c r="DI2" t="e">
        <f>IF(#REF!,"AAAAAH1/33A=",0)</f>
        <v>#REF!</v>
      </c>
      <c r="DJ2" t="e">
        <f>IF(#REF!,"AAAAAH1/33E=",0)</f>
        <v>#REF!</v>
      </c>
      <c r="DK2" t="e">
        <f>IF(#REF!,"AAAAAH1/33I=",0)</f>
        <v>#REF!</v>
      </c>
      <c r="DL2" t="e">
        <f>IF(#REF!,"AAAAAH1/33M=",0)</f>
        <v>#REF!</v>
      </c>
      <c r="DM2" t="e">
        <f>IF(#REF!,"AAAAAH1/33Q=",0)</f>
        <v>#REF!</v>
      </c>
      <c r="DN2" t="e">
        <f>IF(#REF!,"AAAAAH1/33U=",0)</f>
        <v>#REF!</v>
      </c>
      <c r="DO2" t="e">
        <f>IF(#REF!,"AAAAAH1/33Y=",0)</f>
        <v>#REF!</v>
      </c>
      <c r="DP2" t="e">
        <f>IF(#REF!,"AAAAAH1/33c=",0)</f>
        <v>#REF!</v>
      </c>
      <c r="DQ2">
        <f>IF('PSD New Unit-pot emiss'!1:1,"AAAAAH1/33g=",0)</f>
        <v>0</v>
      </c>
      <c r="DR2" t="e">
        <f>AND('PSD New Unit-pot emiss'!B1,"AAAAAH1/33k=")</f>
        <v>#VALUE!</v>
      </c>
      <c r="DS2" t="e">
        <f>AND('PSD New Unit-pot emiss'!C1,"AAAAAH1/33o=")</f>
        <v>#VALUE!</v>
      </c>
      <c r="DT2" t="e">
        <f>AND('PSD New Unit-pot emiss'!D1,"AAAAAH1/33s=")</f>
        <v>#VALUE!</v>
      </c>
      <c r="DU2" t="e">
        <f>AND('PSD New Unit-pot emiss'!E1,"AAAAAH1/33w=")</f>
        <v>#VALUE!</v>
      </c>
      <c r="DV2" t="e">
        <f>AND('PSD New Unit-pot emiss'!F1,"AAAAAH1/330=")</f>
        <v>#VALUE!</v>
      </c>
      <c r="DW2" t="e">
        <f>AND('PSD New Unit-pot emiss'!G1,"AAAAAH1/334=")</f>
        <v>#VALUE!</v>
      </c>
      <c r="DX2" t="e">
        <f>AND('PSD New Unit-pot emiss'!H1,"AAAAAH1/338=")</f>
        <v>#VALUE!</v>
      </c>
      <c r="DY2" t="e">
        <f>AND('PSD New Unit-pot emiss'!J1,"AAAAAH1/34A=")</f>
        <v>#VALUE!</v>
      </c>
      <c r="DZ2" t="e">
        <f>AND('PSD New Unit-pot emiss'!K1,"AAAAAH1/34E=")</f>
        <v>#VALUE!</v>
      </c>
      <c r="EA2" t="e">
        <f>AND('PSD New Unit-pot emiss'!L1,"AAAAAH1/34I=")</f>
        <v>#VALUE!</v>
      </c>
      <c r="EB2" t="e">
        <f>AND('PSD New Unit-pot emiss'!M1,"AAAAAH1/34M=")</f>
        <v>#VALUE!</v>
      </c>
      <c r="EC2" t="e">
        <f>AND('PSD New Unit-pot emiss'!N1,"AAAAAH1/34Q=")</f>
        <v>#VALUE!</v>
      </c>
      <c r="ED2" t="e">
        <f>AND('PSD New Unit-pot emiss'!O1,"AAAAAH1/34U=")</f>
        <v>#VALUE!</v>
      </c>
      <c r="EE2" t="e">
        <f>AND('PSD New Unit-pot emiss'!P1,"AAAAAH1/34Y=")</f>
        <v>#VALUE!</v>
      </c>
      <c r="EF2" t="e">
        <f>AND('PSD New Unit-pot emiss'!Q1,"AAAAAH1/34c=")</f>
        <v>#VALUE!</v>
      </c>
      <c r="EG2">
        <f>IF('PSD New Unit-pot emiss'!2:2,"AAAAAH1/34g=",0)</f>
        <v>0</v>
      </c>
      <c r="EH2" t="e">
        <f>AND('PSD New Unit-pot emiss'!B2,"AAAAAH1/34k=")</f>
        <v>#VALUE!</v>
      </c>
      <c r="EI2" t="e">
        <f>AND('PSD New Unit-pot emiss'!C2,"AAAAAH1/34o=")</f>
        <v>#VALUE!</v>
      </c>
      <c r="EJ2" t="e">
        <f>AND('PSD New Unit-pot emiss'!D2,"AAAAAH1/34s=")</f>
        <v>#VALUE!</v>
      </c>
      <c r="EK2" t="e">
        <f>AND('PSD New Unit-pot emiss'!E2,"AAAAAH1/34w=")</f>
        <v>#VALUE!</v>
      </c>
      <c r="EL2" t="e">
        <f>AND('PSD New Unit-pot emiss'!F2,"AAAAAH1/340=")</f>
        <v>#VALUE!</v>
      </c>
      <c r="EM2" t="e">
        <f>AND('PSD New Unit-pot emiss'!G2,"AAAAAH1/344=")</f>
        <v>#VALUE!</v>
      </c>
      <c r="EN2" t="e">
        <f>AND('PSD New Unit-pot emiss'!H2,"AAAAAH1/348=")</f>
        <v>#VALUE!</v>
      </c>
      <c r="EO2" t="e">
        <f>AND('PSD New Unit-pot emiss'!J2,"AAAAAH1/35A=")</f>
        <v>#VALUE!</v>
      </c>
      <c r="EP2" t="e">
        <f>AND('PSD New Unit-pot emiss'!K2,"AAAAAH1/35E=")</f>
        <v>#VALUE!</v>
      </c>
      <c r="EQ2" t="e">
        <f>AND('PSD New Unit-pot emiss'!L2,"AAAAAH1/35I=")</f>
        <v>#VALUE!</v>
      </c>
      <c r="ER2" t="e">
        <f>AND('PSD New Unit-pot emiss'!M2,"AAAAAH1/35M=")</f>
        <v>#VALUE!</v>
      </c>
      <c r="ES2" t="e">
        <f>AND('PSD New Unit-pot emiss'!N2,"AAAAAH1/35Q=")</f>
        <v>#VALUE!</v>
      </c>
      <c r="ET2" t="e">
        <f>AND('PSD New Unit-pot emiss'!O2,"AAAAAH1/35U=")</f>
        <v>#VALUE!</v>
      </c>
      <c r="EU2" t="e">
        <f>AND('PSD New Unit-pot emiss'!P2,"AAAAAH1/35Y=")</f>
        <v>#VALUE!</v>
      </c>
      <c r="EV2" t="e">
        <f>AND('PSD New Unit-pot emiss'!Q2,"AAAAAH1/35c=")</f>
        <v>#VALUE!</v>
      </c>
      <c r="EW2">
        <f>IF('PSD New Unit-pot emiss'!3:3,"AAAAAH1/35g=",0)</f>
        <v>0</v>
      </c>
      <c r="EX2" t="e">
        <f>AND('PSD New Unit-pot emiss'!B3,"AAAAAH1/35k=")</f>
        <v>#VALUE!</v>
      </c>
      <c r="EY2" t="e">
        <f>AND('PSD New Unit-pot emiss'!C3,"AAAAAH1/35o=")</f>
        <v>#VALUE!</v>
      </c>
      <c r="EZ2" t="e">
        <f>AND('PSD New Unit-pot emiss'!D3,"AAAAAH1/35s=")</f>
        <v>#VALUE!</v>
      </c>
      <c r="FA2" t="e">
        <f>AND('PSD New Unit-pot emiss'!E3,"AAAAAH1/35w=")</f>
        <v>#VALUE!</v>
      </c>
      <c r="FB2" t="e">
        <f>AND('PSD New Unit-pot emiss'!F3,"AAAAAH1/350=")</f>
        <v>#VALUE!</v>
      </c>
      <c r="FC2" t="e">
        <f>AND('PSD New Unit-pot emiss'!G3,"AAAAAH1/354=")</f>
        <v>#VALUE!</v>
      </c>
      <c r="FD2" t="e">
        <f>AND('PSD New Unit-pot emiss'!H3,"AAAAAH1/358=")</f>
        <v>#VALUE!</v>
      </c>
      <c r="FE2" t="e">
        <f>AND('PSD New Unit-pot emiss'!J3,"AAAAAH1/36A=")</f>
        <v>#VALUE!</v>
      </c>
      <c r="FF2" t="e">
        <f>AND('PSD New Unit-pot emiss'!K3,"AAAAAH1/36E=")</f>
        <v>#VALUE!</v>
      </c>
      <c r="FG2" t="e">
        <f>AND('PSD New Unit-pot emiss'!L3,"AAAAAH1/36I=")</f>
        <v>#VALUE!</v>
      </c>
      <c r="FH2" t="e">
        <f>AND('PSD New Unit-pot emiss'!M3,"AAAAAH1/36M=")</f>
        <v>#VALUE!</v>
      </c>
      <c r="FI2" t="e">
        <f>AND('PSD New Unit-pot emiss'!N3,"AAAAAH1/36Q=")</f>
        <v>#VALUE!</v>
      </c>
      <c r="FJ2" t="e">
        <f>AND('PSD New Unit-pot emiss'!O3,"AAAAAH1/36U=")</f>
        <v>#VALUE!</v>
      </c>
      <c r="FK2" t="e">
        <f>AND('PSD New Unit-pot emiss'!P3,"AAAAAH1/36Y=")</f>
        <v>#VALUE!</v>
      </c>
      <c r="FL2" t="e">
        <f>AND('PSD New Unit-pot emiss'!Q3,"AAAAAH1/36c=")</f>
        <v>#VALUE!</v>
      </c>
      <c r="FM2">
        <f>IF('PSD New Unit-pot emiss'!4:4,"AAAAAH1/36g=",0)</f>
        <v>0</v>
      </c>
      <c r="FN2" t="e">
        <f>AND('PSD New Unit-pot emiss'!B4,"AAAAAH1/36k=")</f>
        <v>#VALUE!</v>
      </c>
      <c r="FO2" t="e">
        <f>AND('PSD New Unit-pot emiss'!C4,"AAAAAH1/36o=")</f>
        <v>#VALUE!</v>
      </c>
      <c r="FP2" t="e">
        <f>AND('PSD New Unit-pot emiss'!D4,"AAAAAH1/36s=")</f>
        <v>#VALUE!</v>
      </c>
      <c r="FQ2" t="e">
        <f>AND('PSD New Unit-pot emiss'!E4,"AAAAAH1/36w=")</f>
        <v>#VALUE!</v>
      </c>
      <c r="FR2" t="e">
        <f>AND('PSD New Unit-pot emiss'!F4,"AAAAAH1/360=")</f>
        <v>#VALUE!</v>
      </c>
      <c r="FS2" t="e">
        <f>AND('PSD New Unit-pot emiss'!G4,"AAAAAH1/364=")</f>
        <v>#VALUE!</v>
      </c>
      <c r="FT2" t="e">
        <f>AND('PSD New Unit-pot emiss'!H4,"AAAAAH1/368=")</f>
        <v>#VALUE!</v>
      </c>
      <c r="FU2" t="e">
        <f>AND('PSD New Unit-pot emiss'!J4,"AAAAAH1/37A=")</f>
        <v>#VALUE!</v>
      </c>
      <c r="FV2" t="e">
        <f>AND('PSD New Unit-pot emiss'!K4,"AAAAAH1/37E=")</f>
        <v>#VALUE!</v>
      </c>
      <c r="FW2" t="e">
        <f>AND('PSD New Unit-pot emiss'!L4,"AAAAAH1/37I=")</f>
        <v>#VALUE!</v>
      </c>
      <c r="FX2" t="e">
        <f>AND('PSD New Unit-pot emiss'!M4,"AAAAAH1/37M=")</f>
        <v>#VALUE!</v>
      </c>
      <c r="FY2" t="e">
        <f>AND('PSD New Unit-pot emiss'!N4,"AAAAAH1/37Q=")</f>
        <v>#VALUE!</v>
      </c>
      <c r="FZ2" t="e">
        <f>AND('PSD New Unit-pot emiss'!O4,"AAAAAH1/37U=")</f>
        <v>#VALUE!</v>
      </c>
      <c r="GA2" t="e">
        <f>AND('PSD New Unit-pot emiss'!P4,"AAAAAH1/37Y=")</f>
        <v>#VALUE!</v>
      </c>
      <c r="GB2" t="e">
        <f>AND('PSD New Unit-pot emiss'!Q4,"AAAAAH1/37c=")</f>
        <v>#VALUE!</v>
      </c>
      <c r="GC2">
        <f>IF('PSD New Unit-pot emiss'!5:5,"AAAAAH1/37g=",0)</f>
        <v>0</v>
      </c>
      <c r="GD2" t="e">
        <f>AND('PSD New Unit-pot emiss'!B5,"AAAAAH1/37k=")</f>
        <v>#VALUE!</v>
      </c>
      <c r="GE2" t="e">
        <f>AND('PSD New Unit-pot emiss'!C5,"AAAAAH1/37o=")</f>
        <v>#VALUE!</v>
      </c>
      <c r="GF2" t="e">
        <f>AND('PSD New Unit-pot emiss'!D5,"AAAAAH1/37s=")</f>
        <v>#VALUE!</v>
      </c>
      <c r="GG2" t="e">
        <f>AND('PSD New Unit-pot emiss'!E5,"AAAAAH1/37w=")</f>
        <v>#VALUE!</v>
      </c>
      <c r="GH2" t="e">
        <f>AND('PSD New Unit-pot emiss'!F5,"AAAAAH1/370=")</f>
        <v>#VALUE!</v>
      </c>
      <c r="GI2" t="e">
        <f>AND('PSD New Unit-pot emiss'!G5,"AAAAAH1/374=")</f>
        <v>#VALUE!</v>
      </c>
      <c r="GJ2" t="e">
        <f>AND('PSD New Unit-pot emiss'!H5,"AAAAAH1/378=")</f>
        <v>#VALUE!</v>
      </c>
      <c r="GK2" t="e">
        <f>AND('PSD New Unit-pot emiss'!J5,"AAAAAH1/38A=")</f>
        <v>#VALUE!</v>
      </c>
      <c r="GL2" t="e">
        <f>AND('PSD New Unit-pot emiss'!K5,"AAAAAH1/38E=")</f>
        <v>#VALUE!</v>
      </c>
      <c r="GM2" t="e">
        <f>AND('PSD New Unit-pot emiss'!L5,"AAAAAH1/38I=")</f>
        <v>#VALUE!</v>
      </c>
      <c r="GN2" t="e">
        <f>AND('PSD New Unit-pot emiss'!M5,"AAAAAH1/38M=")</f>
        <v>#VALUE!</v>
      </c>
      <c r="GO2" t="e">
        <f>AND('PSD New Unit-pot emiss'!N5,"AAAAAH1/38Q=")</f>
        <v>#VALUE!</v>
      </c>
      <c r="GP2" t="e">
        <f>AND('PSD New Unit-pot emiss'!O5,"AAAAAH1/38U=")</f>
        <v>#VALUE!</v>
      </c>
      <c r="GQ2" t="e">
        <f>AND('PSD New Unit-pot emiss'!P5,"AAAAAH1/38Y=")</f>
        <v>#VALUE!</v>
      </c>
      <c r="GR2" t="e">
        <f>AND('PSD New Unit-pot emiss'!Q5,"AAAAAH1/38c=")</f>
        <v>#VALUE!</v>
      </c>
      <c r="GS2">
        <f>IF('PSD New Unit-pot emiss'!6:6,"AAAAAH1/38g=",0)</f>
        <v>0</v>
      </c>
      <c r="GT2" t="e">
        <f>AND('PSD New Unit-pot emiss'!B6,"AAAAAH1/38k=")</f>
        <v>#VALUE!</v>
      </c>
      <c r="GU2" t="e">
        <f>AND('PSD New Unit-pot emiss'!C6,"AAAAAH1/38o=")</f>
        <v>#VALUE!</v>
      </c>
      <c r="GV2" t="e">
        <f>AND('PSD New Unit-pot emiss'!D6,"AAAAAH1/38s=")</f>
        <v>#VALUE!</v>
      </c>
      <c r="GW2" t="e">
        <f>AND('PSD New Unit-pot emiss'!E6,"AAAAAH1/38w=")</f>
        <v>#VALUE!</v>
      </c>
      <c r="GX2" t="e">
        <f>AND('PSD New Unit-pot emiss'!F6,"AAAAAH1/380=")</f>
        <v>#VALUE!</v>
      </c>
      <c r="GY2" t="e">
        <f>AND('PSD New Unit-pot emiss'!G6,"AAAAAH1/384=")</f>
        <v>#VALUE!</v>
      </c>
      <c r="GZ2" t="e">
        <f>AND('PSD New Unit-pot emiss'!H6,"AAAAAH1/388=")</f>
        <v>#VALUE!</v>
      </c>
      <c r="HA2" t="e">
        <f>AND('PSD New Unit-pot emiss'!J6,"AAAAAH1/39A=")</f>
        <v>#VALUE!</v>
      </c>
      <c r="HB2" t="e">
        <f>AND('PSD New Unit-pot emiss'!K6,"AAAAAH1/39E=")</f>
        <v>#VALUE!</v>
      </c>
      <c r="HC2" t="e">
        <f>AND('PSD New Unit-pot emiss'!L6,"AAAAAH1/39I=")</f>
        <v>#VALUE!</v>
      </c>
      <c r="HD2" t="e">
        <f>AND('PSD New Unit-pot emiss'!M6,"AAAAAH1/39M=")</f>
        <v>#VALUE!</v>
      </c>
      <c r="HE2" t="e">
        <f>AND('PSD New Unit-pot emiss'!N6,"AAAAAH1/39Q=")</f>
        <v>#VALUE!</v>
      </c>
      <c r="HF2" t="e">
        <f>AND('PSD New Unit-pot emiss'!O6,"AAAAAH1/39U=")</f>
        <v>#VALUE!</v>
      </c>
      <c r="HG2" t="e">
        <f>AND('PSD New Unit-pot emiss'!P6,"AAAAAH1/39Y=")</f>
        <v>#VALUE!</v>
      </c>
      <c r="HH2" t="e">
        <f>AND('PSD New Unit-pot emiss'!Q6,"AAAAAH1/39c=")</f>
        <v>#VALUE!</v>
      </c>
      <c r="HI2">
        <f>IF('PSD New Unit-pot emiss'!8:8,"AAAAAH1/39g=",0)</f>
        <v>0</v>
      </c>
      <c r="HJ2" t="e">
        <f>AND('PSD New Unit-pot emiss'!B8,"AAAAAH1/39k=")</f>
        <v>#VALUE!</v>
      </c>
      <c r="HK2" t="e">
        <f>AND('PSD New Unit-pot emiss'!C8,"AAAAAH1/39o=")</f>
        <v>#VALUE!</v>
      </c>
      <c r="HL2" t="e">
        <f>AND('PSD New Unit-pot emiss'!D8,"AAAAAH1/39s=")</f>
        <v>#VALUE!</v>
      </c>
      <c r="HM2" t="e">
        <f>AND('PSD New Unit-pot emiss'!E8,"AAAAAH1/39w=")</f>
        <v>#VALUE!</v>
      </c>
      <c r="HN2" t="e">
        <f>AND('PSD New Unit-pot emiss'!F8,"AAAAAH1/390=")</f>
        <v>#VALUE!</v>
      </c>
      <c r="HO2" t="e">
        <f>AND('PSD New Unit-pot emiss'!G8,"AAAAAH1/394=")</f>
        <v>#VALUE!</v>
      </c>
      <c r="HP2" t="e">
        <f>AND('PSD New Unit-pot emiss'!H8,"AAAAAH1/398=")</f>
        <v>#VALUE!</v>
      </c>
      <c r="HQ2" t="e">
        <f>AND('PSD New Unit-pot emiss'!J8,"AAAAAH1/3+A=")</f>
        <v>#VALUE!</v>
      </c>
      <c r="HR2" t="e">
        <f>AND('PSD New Unit-pot emiss'!K8,"AAAAAH1/3+E=")</f>
        <v>#VALUE!</v>
      </c>
      <c r="HS2" t="e">
        <f>AND('PSD New Unit-pot emiss'!L8,"AAAAAH1/3+I=")</f>
        <v>#VALUE!</v>
      </c>
      <c r="HT2" t="e">
        <f>AND('PSD New Unit-pot emiss'!M8,"AAAAAH1/3+M=")</f>
        <v>#VALUE!</v>
      </c>
      <c r="HU2" t="e">
        <f>AND('PSD New Unit-pot emiss'!N8,"AAAAAH1/3+Q=")</f>
        <v>#VALUE!</v>
      </c>
      <c r="HV2" t="e">
        <f>AND('PSD New Unit-pot emiss'!O8,"AAAAAH1/3+U=")</f>
        <v>#VALUE!</v>
      </c>
      <c r="HW2" t="e">
        <f>AND('PSD New Unit-pot emiss'!P8,"AAAAAH1/3+Y=")</f>
        <v>#VALUE!</v>
      </c>
      <c r="HX2" t="e">
        <f>AND('PSD New Unit-pot emiss'!Q8,"AAAAAH1/3+c=")</f>
        <v>#VALUE!</v>
      </c>
      <c r="HY2">
        <f>IF('PSD New Unit-pot emiss'!10:10,"AAAAAH1/3+g=",0)</f>
        <v>0</v>
      </c>
      <c r="HZ2" t="e">
        <f>AND('PSD New Unit-pot emiss'!B10,"AAAAAH1/3+k=")</f>
        <v>#VALUE!</v>
      </c>
      <c r="IA2" t="e">
        <f>AND('PSD New Unit-pot emiss'!C10,"AAAAAH1/3+o=")</f>
        <v>#VALUE!</v>
      </c>
      <c r="IB2" t="e">
        <f>AND('PSD New Unit-pot emiss'!D10,"AAAAAH1/3+s=")</f>
        <v>#VALUE!</v>
      </c>
      <c r="IC2" t="e">
        <f>AND('PSD New Unit-pot emiss'!E10,"AAAAAH1/3+w=")</f>
        <v>#VALUE!</v>
      </c>
      <c r="ID2" t="e">
        <f>AND('PSD New Unit-pot emiss'!F10,"AAAAAH1/3+0=")</f>
        <v>#VALUE!</v>
      </c>
      <c r="IE2" t="e">
        <f>AND('PSD New Unit-pot emiss'!G10,"AAAAAH1/3+4=")</f>
        <v>#VALUE!</v>
      </c>
      <c r="IF2" t="e">
        <f>AND('PSD New Unit-pot emiss'!H10,"AAAAAH1/3+8=")</f>
        <v>#VALUE!</v>
      </c>
      <c r="IG2" t="e">
        <f>AND('PSD New Unit-pot emiss'!J10,"AAAAAH1/3/A=")</f>
        <v>#VALUE!</v>
      </c>
      <c r="IH2" t="e">
        <f>AND('PSD New Unit-pot emiss'!K10,"AAAAAH1/3/E=")</f>
        <v>#VALUE!</v>
      </c>
      <c r="II2" t="e">
        <f>AND('PSD New Unit-pot emiss'!L10,"AAAAAH1/3/I=")</f>
        <v>#VALUE!</v>
      </c>
      <c r="IJ2" t="e">
        <f>AND('PSD New Unit-pot emiss'!M10,"AAAAAH1/3/M=")</f>
        <v>#VALUE!</v>
      </c>
      <c r="IK2" t="e">
        <f>AND('PSD New Unit-pot emiss'!N10,"AAAAAH1/3/Q=")</f>
        <v>#VALUE!</v>
      </c>
      <c r="IL2" t="e">
        <f>AND('PSD New Unit-pot emiss'!O10,"AAAAAH1/3/U=")</f>
        <v>#VALUE!</v>
      </c>
      <c r="IM2" t="e">
        <f>AND('PSD New Unit-pot emiss'!P10,"AAAAAH1/3/Y=")</f>
        <v>#VALUE!</v>
      </c>
      <c r="IN2" t="e">
        <f>AND('PSD New Unit-pot emiss'!Q10,"AAAAAH1/3/c=")</f>
        <v>#VALUE!</v>
      </c>
      <c r="IO2">
        <f>IF('PSD New Unit-pot emiss'!11:11,"AAAAAH1/3/g=",0)</f>
        <v>0</v>
      </c>
      <c r="IP2" t="e">
        <f>AND('PSD New Unit-pot emiss'!B11,"AAAAAH1/3/k=")</f>
        <v>#VALUE!</v>
      </c>
      <c r="IQ2" t="e">
        <f>AND('PSD New Unit-pot emiss'!C11,"AAAAAH1/3/o=")</f>
        <v>#VALUE!</v>
      </c>
      <c r="IR2" t="e">
        <f>AND('PSD New Unit-pot emiss'!D11,"AAAAAH1/3/s=")</f>
        <v>#VALUE!</v>
      </c>
      <c r="IS2" t="e">
        <f>AND('PSD New Unit-pot emiss'!E11,"AAAAAH1/3/w=")</f>
        <v>#VALUE!</v>
      </c>
      <c r="IT2" t="e">
        <f>AND('PSD New Unit-pot emiss'!F11,"AAAAAH1/3/0=")</f>
        <v>#VALUE!</v>
      </c>
      <c r="IU2" t="e">
        <f>AND('PSD New Unit-pot emiss'!G11,"AAAAAH1/3/4=")</f>
        <v>#VALUE!</v>
      </c>
      <c r="IV2" t="e">
        <f>AND('PSD New Unit-pot emiss'!H11,"AAAAAH1/3/8=")</f>
        <v>#VALUE!</v>
      </c>
    </row>
    <row r="3" spans="1:256" ht="15">
      <c r="A3" t="e">
        <f>AND('PSD New Unit-pot emiss'!J11,"AAAAAG96nwA=")</f>
        <v>#VALUE!</v>
      </c>
      <c r="B3" t="e">
        <f>AND('PSD New Unit-pot emiss'!K11,"AAAAAG96nwE=")</f>
        <v>#VALUE!</v>
      </c>
      <c r="C3" t="e">
        <f>AND('PSD New Unit-pot emiss'!L11,"AAAAAG96nwI=")</f>
        <v>#VALUE!</v>
      </c>
      <c r="D3" t="e">
        <f>AND('PSD New Unit-pot emiss'!M11,"AAAAAG96nwM=")</f>
        <v>#VALUE!</v>
      </c>
      <c r="E3" t="e">
        <f>AND('PSD New Unit-pot emiss'!N11,"AAAAAG96nwQ=")</f>
        <v>#VALUE!</v>
      </c>
      <c r="F3" t="e">
        <f>AND('PSD New Unit-pot emiss'!O11,"AAAAAG96nwU=")</f>
        <v>#VALUE!</v>
      </c>
      <c r="G3" t="e">
        <f>AND('PSD New Unit-pot emiss'!P11,"AAAAAG96nwY=")</f>
        <v>#VALUE!</v>
      </c>
      <c r="H3" t="e">
        <f>AND('PSD New Unit-pot emiss'!Q11,"AAAAAG96nwc=")</f>
        <v>#VALUE!</v>
      </c>
      <c r="I3" t="str">
        <f>IF('PSD New Unit-pot emiss'!12:12,"AAAAAG96nwg=",0)</f>
        <v>AAAAAG96nwg=</v>
      </c>
      <c r="J3" t="e">
        <f>AND('PSD New Unit-pot emiss'!B12,"AAAAAG96nwk=")</f>
        <v>#VALUE!</v>
      </c>
      <c r="K3" t="e">
        <f>AND('PSD New Unit-pot emiss'!C12,"AAAAAG96nwo=")</f>
        <v>#VALUE!</v>
      </c>
      <c r="L3" t="e">
        <f>AND('PSD New Unit-pot emiss'!D12,"AAAAAG96nws=")</f>
        <v>#VALUE!</v>
      </c>
      <c r="M3" t="e">
        <f>AND('PSD New Unit-pot emiss'!E12,"AAAAAG96nww=")</f>
        <v>#VALUE!</v>
      </c>
      <c r="N3" t="e">
        <f>AND('PSD New Unit-pot emiss'!F12,"AAAAAG96nw0=")</f>
        <v>#VALUE!</v>
      </c>
      <c r="O3" t="e">
        <f>AND('PSD New Unit-pot emiss'!G12,"AAAAAG96nw4=")</f>
        <v>#VALUE!</v>
      </c>
      <c r="P3" t="e">
        <f>AND('PSD New Unit-pot emiss'!H12,"AAAAAG96nw8=")</f>
        <v>#VALUE!</v>
      </c>
      <c r="Q3" t="e">
        <f>AND('PSD New Unit-pot emiss'!J12,"AAAAAG96nxA=")</f>
        <v>#VALUE!</v>
      </c>
      <c r="R3" t="e">
        <f>AND('PSD New Unit-pot emiss'!K12,"AAAAAG96nxE=")</f>
        <v>#VALUE!</v>
      </c>
      <c r="S3" t="e">
        <f>AND('PSD New Unit-pot emiss'!L12,"AAAAAG96nxI=")</f>
        <v>#VALUE!</v>
      </c>
      <c r="T3" t="e">
        <f>AND('PSD New Unit-pot emiss'!M12,"AAAAAG96nxM=")</f>
        <v>#VALUE!</v>
      </c>
      <c r="U3" t="e">
        <f>AND('PSD New Unit-pot emiss'!N12,"AAAAAG96nxQ=")</f>
        <v>#VALUE!</v>
      </c>
      <c r="V3" t="e">
        <f>AND('PSD New Unit-pot emiss'!O12,"AAAAAG96nxU=")</f>
        <v>#VALUE!</v>
      </c>
      <c r="W3" t="e">
        <f>AND('PSD New Unit-pot emiss'!P12,"AAAAAG96nxY=")</f>
        <v>#VALUE!</v>
      </c>
      <c r="X3" t="e">
        <f>AND('PSD New Unit-pot emiss'!Q12,"AAAAAG96nxc=")</f>
        <v>#VALUE!</v>
      </c>
      <c r="Y3">
        <f>IF('PSD New Unit-pot emiss'!13:13,"AAAAAG96nxg=",0)</f>
        <v>0</v>
      </c>
      <c r="Z3" t="e">
        <f>AND('PSD New Unit-pot emiss'!B13,"AAAAAG96nxk=")</f>
        <v>#VALUE!</v>
      </c>
      <c r="AA3" t="e">
        <f>AND('PSD New Unit-pot emiss'!C13,"AAAAAG96nxo=")</f>
        <v>#VALUE!</v>
      </c>
      <c r="AB3" t="e">
        <f>AND('PSD New Unit-pot emiss'!D13,"AAAAAG96nxs=")</f>
        <v>#VALUE!</v>
      </c>
      <c r="AC3" t="e">
        <f>AND('PSD New Unit-pot emiss'!E13,"AAAAAG96nxw=")</f>
        <v>#VALUE!</v>
      </c>
      <c r="AD3" t="e">
        <f>AND('PSD New Unit-pot emiss'!F13,"AAAAAG96nx0=")</f>
        <v>#VALUE!</v>
      </c>
      <c r="AE3" t="e">
        <f>AND('PSD New Unit-pot emiss'!G13,"AAAAAG96nx4=")</f>
        <v>#VALUE!</v>
      </c>
      <c r="AF3" t="e">
        <f>AND('PSD New Unit-pot emiss'!H13,"AAAAAG96nx8=")</f>
        <v>#VALUE!</v>
      </c>
      <c r="AG3" t="e">
        <f>AND('PSD New Unit-pot emiss'!J13,"AAAAAG96nyA=")</f>
        <v>#VALUE!</v>
      </c>
      <c r="AH3" t="e">
        <f>AND('PSD New Unit-pot emiss'!K13,"AAAAAG96nyE=")</f>
        <v>#VALUE!</v>
      </c>
      <c r="AI3" t="e">
        <f>AND('PSD New Unit-pot emiss'!L13,"AAAAAG96nyI=")</f>
        <v>#VALUE!</v>
      </c>
      <c r="AJ3" t="e">
        <f>AND('PSD New Unit-pot emiss'!M13,"AAAAAG96nyM=")</f>
        <v>#VALUE!</v>
      </c>
      <c r="AK3" t="e">
        <f>AND('PSD New Unit-pot emiss'!N13,"AAAAAG96nyQ=")</f>
        <v>#VALUE!</v>
      </c>
      <c r="AL3" t="e">
        <f>AND('PSD New Unit-pot emiss'!O13,"AAAAAG96nyU=")</f>
        <v>#VALUE!</v>
      </c>
      <c r="AM3" t="e">
        <f>AND('PSD New Unit-pot emiss'!P13,"AAAAAG96nyY=")</f>
        <v>#VALUE!</v>
      </c>
      <c r="AN3" t="e">
        <f>AND('PSD New Unit-pot emiss'!Q13,"AAAAAG96nyc=")</f>
        <v>#VALUE!</v>
      </c>
      <c r="AO3">
        <f>IF('PSD New Unit-pot emiss'!14:14,"AAAAAG96nyg=",0)</f>
        <v>0</v>
      </c>
      <c r="AP3" t="e">
        <f>AND('PSD New Unit-pot emiss'!B14,"AAAAAG96nyk=")</f>
        <v>#VALUE!</v>
      </c>
      <c r="AQ3" t="e">
        <f>AND('PSD New Unit-pot emiss'!C14,"AAAAAG96nyo=")</f>
        <v>#VALUE!</v>
      </c>
      <c r="AR3" t="e">
        <f>AND('PSD New Unit-pot emiss'!D14,"AAAAAG96nys=")</f>
        <v>#VALUE!</v>
      </c>
      <c r="AS3" t="e">
        <f>AND('PSD New Unit-pot emiss'!E14,"AAAAAG96nyw=")</f>
        <v>#VALUE!</v>
      </c>
      <c r="AT3" t="e">
        <f>AND('PSD New Unit-pot emiss'!F14,"AAAAAG96ny0=")</f>
        <v>#VALUE!</v>
      </c>
      <c r="AU3" t="e">
        <f>AND('PSD New Unit-pot emiss'!G14,"AAAAAG96ny4=")</f>
        <v>#VALUE!</v>
      </c>
      <c r="AV3" t="e">
        <f>AND('PSD New Unit-pot emiss'!H14,"AAAAAG96ny8=")</f>
        <v>#VALUE!</v>
      </c>
      <c r="AW3" t="e">
        <f>AND('PSD New Unit-pot emiss'!J14,"AAAAAG96nzA=")</f>
        <v>#VALUE!</v>
      </c>
      <c r="AX3" t="e">
        <f>AND('PSD New Unit-pot emiss'!K14,"AAAAAG96nzE=")</f>
        <v>#VALUE!</v>
      </c>
      <c r="AY3" t="e">
        <f>AND('PSD New Unit-pot emiss'!L14,"AAAAAG96nzI=")</f>
        <v>#VALUE!</v>
      </c>
      <c r="AZ3" t="e">
        <f>AND('PSD New Unit-pot emiss'!M14,"AAAAAG96nzM=")</f>
        <v>#VALUE!</v>
      </c>
      <c r="BA3" t="e">
        <f>AND('PSD New Unit-pot emiss'!N14,"AAAAAG96nzQ=")</f>
        <v>#VALUE!</v>
      </c>
      <c r="BB3" t="e">
        <f>AND('PSD New Unit-pot emiss'!O14,"AAAAAG96nzU=")</f>
        <v>#VALUE!</v>
      </c>
      <c r="BC3" t="e">
        <f>AND('PSD New Unit-pot emiss'!P14,"AAAAAG96nzY=")</f>
        <v>#VALUE!</v>
      </c>
      <c r="BD3" t="e">
        <f>AND('PSD New Unit-pot emiss'!Q14,"AAAAAG96nzc=")</f>
        <v>#VALUE!</v>
      </c>
      <c r="BE3" t="e">
        <f>IF('PSD New Unit-pot emiss'!#REF!,"AAAAAG96nzg=",0)</f>
        <v>#REF!</v>
      </c>
      <c r="BF3" t="e">
        <f>AND('PSD New Unit-pot emiss'!#REF!,"AAAAAG96nzk=")</f>
        <v>#REF!</v>
      </c>
      <c r="BG3" t="e">
        <f>AND('PSD New Unit-pot emiss'!#REF!,"AAAAAG96nzo=")</f>
        <v>#REF!</v>
      </c>
      <c r="BH3" t="e">
        <f>AND('PSD New Unit-pot emiss'!#REF!,"AAAAAG96nzs=")</f>
        <v>#REF!</v>
      </c>
      <c r="BI3" t="e">
        <f>AND('PSD New Unit-pot emiss'!#REF!,"AAAAAG96nzw=")</f>
        <v>#REF!</v>
      </c>
      <c r="BJ3" t="e">
        <f>AND('PSD New Unit-pot emiss'!#REF!,"AAAAAG96nz0=")</f>
        <v>#REF!</v>
      </c>
      <c r="BK3" t="e">
        <f>AND('PSD New Unit-pot emiss'!#REF!,"AAAAAG96nz4=")</f>
        <v>#REF!</v>
      </c>
      <c r="BL3" t="e">
        <f>AND('PSD New Unit-pot emiss'!#REF!,"AAAAAG96nz8=")</f>
        <v>#REF!</v>
      </c>
      <c r="BM3" t="e">
        <f>AND('PSD New Unit-pot emiss'!#REF!,"AAAAAG96n0A=")</f>
        <v>#REF!</v>
      </c>
      <c r="BN3" t="e">
        <f>AND('PSD New Unit-pot emiss'!#REF!,"AAAAAG96n0E=")</f>
        <v>#REF!</v>
      </c>
      <c r="BO3" t="e">
        <f>AND('PSD New Unit-pot emiss'!#REF!,"AAAAAG96n0I=")</f>
        <v>#REF!</v>
      </c>
      <c r="BP3" t="e">
        <f>AND('PSD New Unit-pot emiss'!#REF!,"AAAAAG96n0M=")</f>
        <v>#REF!</v>
      </c>
      <c r="BQ3" t="e">
        <f>AND('PSD New Unit-pot emiss'!#REF!,"AAAAAG96n0Q=")</f>
        <v>#REF!</v>
      </c>
      <c r="BR3" t="e">
        <f>AND('PSD New Unit-pot emiss'!#REF!,"AAAAAG96n0U=")</f>
        <v>#REF!</v>
      </c>
      <c r="BS3" t="e">
        <f>AND('PSD New Unit-pot emiss'!#REF!,"AAAAAG96n0Y=")</f>
        <v>#REF!</v>
      </c>
      <c r="BT3" t="e">
        <f>AND('PSD New Unit-pot emiss'!#REF!,"AAAAAG96n0c=")</f>
        <v>#REF!</v>
      </c>
      <c r="BU3" t="e">
        <f>IF('PSD New Unit-pot emiss'!#REF!,"AAAAAG96n0g=",0)</f>
        <v>#REF!</v>
      </c>
      <c r="BV3" t="e">
        <f>AND('PSD New Unit-pot emiss'!#REF!,"AAAAAG96n0k=")</f>
        <v>#REF!</v>
      </c>
      <c r="BW3" t="e">
        <f>AND('PSD New Unit-pot emiss'!#REF!,"AAAAAG96n0o=")</f>
        <v>#REF!</v>
      </c>
      <c r="BX3" t="e">
        <f>AND('PSD New Unit-pot emiss'!#REF!,"AAAAAG96n0s=")</f>
        <v>#REF!</v>
      </c>
      <c r="BY3" t="e">
        <f>AND('PSD New Unit-pot emiss'!#REF!,"AAAAAG96n0w=")</f>
        <v>#REF!</v>
      </c>
      <c r="BZ3" t="e">
        <f>AND('PSD New Unit-pot emiss'!#REF!,"AAAAAG96n00=")</f>
        <v>#REF!</v>
      </c>
      <c r="CA3" t="e">
        <f>AND('PSD New Unit-pot emiss'!#REF!,"AAAAAG96n04=")</f>
        <v>#REF!</v>
      </c>
      <c r="CB3" t="e">
        <f>AND('PSD New Unit-pot emiss'!#REF!,"AAAAAG96n08=")</f>
        <v>#REF!</v>
      </c>
      <c r="CC3" t="e">
        <f>AND('PSD New Unit-pot emiss'!#REF!,"AAAAAG96n1A=")</f>
        <v>#REF!</v>
      </c>
      <c r="CD3" t="e">
        <f>AND('PSD New Unit-pot emiss'!#REF!,"AAAAAG96n1E=")</f>
        <v>#REF!</v>
      </c>
      <c r="CE3" t="e">
        <f>AND('PSD New Unit-pot emiss'!#REF!,"AAAAAG96n1I=")</f>
        <v>#REF!</v>
      </c>
      <c r="CF3" t="e">
        <f>AND('PSD New Unit-pot emiss'!#REF!,"AAAAAG96n1M=")</f>
        <v>#REF!</v>
      </c>
      <c r="CG3" t="e">
        <f>AND('PSD New Unit-pot emiss'!#REF!,"AAAAAG96n1Q=")</f>
        <v>#REF!</v>
      </c>
      <c r="CH3" t="e">
        <f>AND('PSD New Unit-pot emiss'!#REF!,"AAAAAG96n1U=")</f>
        <v>#REF!</v>
      </c>
      <c r="CI3" t="e">
        <f>AND('PSD New Unit-pot emiss'!#REF!,"AAAAAG96n1Y=")</f>
        <v>#REF!</v>
      </c>
      <c r="CJ3" t="e">
        <f>AND('PSD New Unit-pot emiss'!#REF!,"AAAAAG96n1c=")</f>
        <v>#REF!</v>
      </c>
      <c r="CK3" t="e">
        <f>IF('PSD New Unit-pot emiss'!#REF!,"AAAAAG96n1g=",0)</f>
        <v>#REF!</v>
      </c>
      <c r="CL3" t="e">
        <f>AND('PSD New Unit-pot emiss'!#REF!,"AAAAAG96n1k=")</f>
        <v>#REF!</v>
      </c>
      <c r="CM3" t="e">
        <f>AND('PSD New Unit-pot emiss'!#REF!,"AAAAAG96n1o=")</f>
        <v>#REF!</v>
      </c>
      <c r="CN3" t="e">
        <f>AND('PSD New Unit-pot emiss'!#REF!,"AAAAAG96n1s=")</f>
        <v>#REF!</v>
      </c>
      <c r="CO3" t="e">
        <f>AND('PSD New Unit-pot emiss'!#REF!,"AAAAAG96n1w=")</f>
        <v>#REF!</v>
      </c>
      <c r="CP3" t="e">
        <f>AND('PSD New Unit-pot emiss'!#REF!,"AAAAAG96n10=")</f>
        <v>#REF!</v>
      </c>
      <c r="CQ3" t="e">
        <f>AND('PSD New Unit-pot emiss'!#REF!,"AAAAAG96n14=")</f>
        <v>#REF!</v>
      </c>
      <c r="CR3" t="e">
        <f>AND('PSD New Unit-pot emiss'!#REF!,"AAAAAG96n18=")</f>
        <v>#REF!</v>
      </c>
      <c r="CS3" t="e">
        <f>AND('PSD New Unit-pot emiss'!#REF!,"AAAAAG96n2A=")</f>
        <v>#REF!</v>
      </c>
      <c r="CT3" t="e">
        <f>AND('PSD New Unit-pot emiss'!#REF!,"AAAAAG96n2E=")</f>
        <v>#REF!</v>
      </c>
      <c r="CU3" t="e">
        <f>AND('PSD New Unit-pot emiss'!#REF!,"AAAAAG96n2I=")</f>
        <v>#REF!</v>
      </c>
      <c r="CV3" t="e">
        <f>AND('PSD New Unit-pot emiss'!#REF!,"AAAAAG96n2M=")</f>
        <v>#REF!</v>
      </c>
      <c r="CW3" t="e">
        <f>AND('PSD New Unit-pot emiss'!#REF!,"AAAAAG96n2Q=")</f>
        <v>#REF!</v>
      </c>
      <c r="CX3" t="e">
        <f>AND('PSD New Unit-pot emiss'!#REF!,"AAAAAG96n2U=")</f>
        <v>#REF!</v>
      </c>
      <c r="CY3" t="e">
        <f>AND('PSD New Unit-pot emiss'!#REF!,"AAAAAG96n2Y=")</f>
        <v>#REF!</v>
      </c>
      <c r="CZ3" t="e">
        <f>AND('PSD New Unit-pot emiss'!#REF!,"AAAAAG96n2c=")</f>
        <v>#REF!</v>
      </c>
      <c r="DA3" t="e">
        <f>IF('PSD New Unit-pot emiss'!#REF!,"AAAAAG96n2g=",0)</f>
        <v>#REF!</v>
      </c>
      <c r="DB3" t="e">
        <f>AND('PSD New Unit-pot emiss'!#REF!,"AAAAAG96n2k=")</f>
        <v>#REF!</v>
      </c>
      <c r="DC3" t="e">
        <f>AND('PSD New Unit-pot emiss'!#REF!,"AAAAAG96n2o=")</f>
        <v>#REF!</v>
      </c>
      <c r="DD3" t="e">
        <f>AND('PSD New Unit-pot emiss'!#REF!,"AAAAAG96n2s=")</f>
        <v>#REF!</v>
      </c>
      <c r="DE3" t="e">
        <f>AND('PSD New Unit-pot emiss'!#REF!,"AAAAAG96n2w=")</f>
        <v>#REF!</v>
      </c>
      <c r="DF3" t="e">
        <f>AND('PSD New Unit-pot emiss'!#REF!,"AAAAAG96n20=")</f>
        <v>#REF!</v>
      </c>
      <c r="DG3" t="e">
        <f>AND('PSD New Unit-pot emiss'!#REF!,"AAAAAG96n24=")</f>
        <v>#REF!</v>
      </c>
      <c r="DH3" t="e">
        <f>AND('PSD New Unit-pot emiss'!#REF!,"AAAAAG96n28=")</f>
        <v>#REF!</v>
      </c>
      <c r="DI3" t="e">
        <f>AND('PSD New Unit-pot emiss'!#REF!,"AAAAAG96n3A=")</f>
        <v>#REF!</v>
      </c>
      <c r="DJ3" t="e">
        <f>AND('PSD New Unit-pot emiss'!#REF!,"AAAAAG96n3E=")</f>
        <v>#REF!</v>
      </c>
      <c r="DK3" t="e">
        <f>AND('PSD New Unit-pot emiss'!#REF!,"AAAAAG96n3I=")</f>
        <v>#REF!</v>
      </c>
      <c r="DL3" t="e">
        <f>AND('PSD New Unit-pot emiss'!#REF!,"AAAAAG96n3M=")</f>
        <v>#REF!</v>
      </c>
      <c r="DM3" t="e">
        <f>AND('PSD New Unit-pot emiss'!#REF!,"AAAAAG96n3Q=")</f>
        <v>#REF!</v>
      </c>
      <c r="DN3" t="e">
        <f>AND('PSD New Unit-pot emiss'!#REF!,"AAAAAG96n3U=")</f>
        <v>#REF!</v>
      </c>
      <c r="DO3" t="e">
        <f>AND('PSD New Unit-pot emiss'!#REF!,"AAAAAG96n3Y=")</f>
        <v>#REF!</v>
      </c>
      <c r="DP3" t="e">
        <f>AND('PSD New Unit-pot emiss'!#REF!,"AAAAAG96n3c=")</f>
        <v>#REF!</v>
      </c>
      <c r="DQ3" t="e">
        <f>IF('PSD New Unit-pot emiss'!#REF!,"AAAAAG96n3g=",0)</f>
        <v>#REF!</v>
      </c>
      <c r="DR3" t="e">
        <f>AND('PSD New Unit-pot emiss'!#REF!,"AAAAAG96n3k=")</f>
        <v>#REF!</v>
      </c>
      <c r="DS3" t="e">
        <f>AND('PSD New Unit-pot emiss'!#REF!,"AAAAAG96n3o=")</f>
        <v>#REF!</v>
      </c>
      <c r="DT3" t="e">
        <f>AND('PSD New Unit-pot emiss'!#REF!,"AAAAAG96n3s=")</f>
        <v>#REF!</v>
      </c>
      <c r="DU3" t="e">
        <f>AND('PSD New Unit-pot emiss'!#REF!,"AAAAAG96n3w=")</f>
        <v>#REF!</v>
      </c>
      <c r="DV3" t="e">
        <f>AND('PSD New Unit-pot emiss'!#REF!,"AAAAAG96n30=")</f>
        <v>#REF!</v>
      </c>
      <c r="DW3" t="e">
        <f>AND('PSD New Unit-pot emiss'!#REF!,"AAAAAG96n34=")</f>
        <v>#REF!</v>
      </c>
      <c r="DX3" t="e">
        <f>AND('PSD New Unit-pot emiss'!#REF!,"AAAAAG96n38=")</f>
        <v>#REF!</v>
      </c>
      <c r="DY3" t="e">
        <f>AND('PSD New Unit-pot emiss'!#REF!,"AAAAAG96n4A=")</f>
        <v>#REF!</v>
      </c>
      <c r="DZ3" t="e">
        <f>AND('PSD New Unit-pot emiss'!#REF!,"AAAAAG96n4E=")</f>
        <v>#REF!</v>
      </c>
      <c r="EA3" t="e">
        <f>AND('PSD New Unit-pot emiss'!#REF!,"AAAAAG96n4I=")</f>
        <v>#REF!</v>
      </c>
      <c r="EB3" t="e">
        <f>AND('PSD New Unit-pot emiss'!#REF!,"AAAAAG96n4M=")</f>
        <v>#REF!</v>
      </c>
      <c r="EC3" t="e">
        <f>AND('PSD New Unit-pot emiss'!#REF!,"AAAAAG96n4Q=")</f>
        <v>#REF!</v>
      </c>
      <c r="ED3" t="e">
        <f>AND('PSD New Unit-pot emiss'!#REF!,"AAAAAG96n4U=")</f>
        <v>#REF!</v>
      </c>
      <c r="EE3" t="e">
        <f>AND('PSD New Unit-pot emiss'!#REF!,"AAAAAG96n4Y=")</f>
        <v>#REF!</v>
      </c>
      <c r="EF3" t="e">
        <f>AND('PSD New Unit-pot emiss'!#REF!,"AAAAAG96n4c=")</f>
        <v>#REF!</v>
      </c>
      <c r="EG3" t="e">
        <f>IF('PSD New Unit-pot emiss'!#REF!,"AAAAAG96n4g=",0)</f>
        <v>#REF!</v>
      </c>
      <c r="EH3" t="e">
        <f>AND('PSD New Unit-pot emiss'!#REF!,"AAAAAG96n4k=")</f>
        <v>#REF!</v>
      </c>
      <c r="EI3" t="e">
        <f>AND('PSD New Unit-pot emiss'!#REF!,"AAAAAG96n4o=")</f>
        <v>#REF!</v>
      </c>
      <c r="EJ3" t="e">
        <f>AND('PSD New Unit-pot emiss'!#REF!,"AAAAAG96n4s=")</f>
        <v>#REF!</v>
      </c>
      <c r="EK3" t="e">
        <f>AND('PSD New Unit-pot emiss'!#REF!,"AAAAAG96n4w=")</f>
        <v>#REF!</v>
      </c>
      <c r="EL3" t="e">
        <f>AND('PSD New Unit-pot emiss'!#REF!,"AAAAAG96n40=")</f>
        <v>#REF!</v>
      </c>
      <c r="EM3" t="e">
        <f>AND('PSD New Unit-pot emiss'!#REF!,"AAAAAG96n44=")</f>
        <v>#REF!</v>
      </c>
      <c r="EN3" t="e">
        <f>AND('PSD New Unit-pot emiss'!#REF!,"AAAAAG96n48=")</f>
        <v>#REF!</v>
      </c>
      <c r="EO3" t="e">
        <f>AND('PSD New Unit-pot emiss'!#REF!,"AAAAAG96n5A=")</f>
        <v>#REF!</v>
      </c>
      <c r="EP3" t="e">
        <f>AND('PSD New Unit-pot emiss'!#REF!,"AAAAAG96n5E=")</f>
        <v>#REF!</v>
      </c>
      <c r="EQ3" t="e">
        <f>AND('PSD New Unit-pot emiss'!#REF!,"AAAAAG96n5I=")</f>
        <v>#REF!</v>
      </c>
      <c r="ER3" t="e">
        <f>AND('PSD New Unit-pot emiss'!#REF!,"AAAAAG96n5M=")</f>
        <v>#REF!</v>
      </c>
      <c r="ES3" t="e">
        <f>AND('PSD New Unit-pot emiss'!#REF!,"AAAAAG96n5Q=")</f>
        <v>#REF!</v>
      </c>
      <c r="ET3" t="e">
        <f>AND('PSD New Unit-pot emiss'!#REF!,"AAAAAG96n5U=")</f>
        <v>#REF!</v>
      </c>
      <c r="EU3" t="e">
        <f>AND('PSD New Unit-pot emiss'!#REF!,"AAAAAG96n5Y=")</f>
        <v>#REF!</v>
      </c>
      <c r="EV3" t="e">
        <f>AND('PSD New Unit-pot emiss'!#REF!,"AAAAAG96n5c=")</f>
        <v>#REF!</v>
      </c>
      <c r="EW3">
        <f>IF('PSD New Unit-pot emiss'!15:15,"AAAAAG96n5g=",0)</f>
        <v>0</v>
      </c>
      <c r="EX3" t="e">
        <f>AND('PSD New Unit-pot emiss'!B15,"AAAAAG96n5k=")</f>
        <v>#VALUE!</v>
      </c>
      <c r="EY3" t="e">
        <f>AND('PSD New Unit-pot emiss'!C15,"AAAAAG96n5o=")</f>
        <v>#VALUE!</v>
      </c>
      <c r="EZ3" t="e">
        <f>AND('PSD New Unit-pot emiss'!D15,"AAAAAG96n5s=")</f>
        <v>#VALUE!</v>
      </c>
      <c r="FA3" t="e">
        <f>AND('PSD New Unit-pot emiss'!E15,"AAAAAG96n5w=")</f>
        <v>#VALUE!</v>
      </c>
      <c r="FB3" t="e">
        <f>AND('PSD New Unit-pot emiss'!F15,"AAAAAG96n50=")</f>
        <v>#VALUE!</v>
      </c>
      <c r="FC3" t="e">
        <f>AND('PSD New Unit-pot emiss'!G15,"AAAAAG96n54=")</f>
        <v>#VALUE!</v>
      </c>
      <c r="FD3" t="e">
        <f>AND('PSD New Unit-pot emiss'!H15,"AAAAAG96n58=")</f>
        <v>#VALUE!</v>
      </c>
      <c r="FE3" t="e">
        <f>AND('PSD New Unit-pot emiss'!J15,"AAAAAG96n6A=")</f>
        <v>#VALUE!</v>
      </c>
      <c r="FF3" t="e">
        <f>AND('PSD New Unit-pot emiss'!K15,"AAAAAG96n6E=")</f>
        <v>#VALUE!</v>
      </c>
      <c r="FG3" t="e">
        <f>AND('PSD New Unit-pot emiss'!L15,"AAAAAG96n6I=")</f>
        <v>#VALUE!</v>
      </c>
      <c r="FH3" t="e">
        <f>AND('PSD New Unit-pot emiss'!M15,"AAAAAG96n6M=")</f>
        <v>#VALUE!</v>
      </c>
      <c r="FI3" t="e">
        <f>AND('PSD New Unit-pot emiss'!N15,"AAAAAG96n6Q=")</f>
        <v>#VALUE!</v>
      </c>
      <c r="FJ3" t="e">
        <f>AND('PSD New Unit-pot emiss'!O15,"AAAAAG96n6U=")</f>
        <v>#VALUE!</v>
      </c>
      <c r="FK3" t="e">
        <f>AND('PSD New Unit-pot emiss'!P15,"AAAAAG96n6Y=")</f>
        <v>#VALUE!</v>
      </c>
      <c r="FL3" t="e">
        <f>AND('PSD New Unit-pot emiss'!Q15,"AAAAAG96n6c=")</f>
        <v>#VALUE!</v>
      </c>
      <c r="FM3">
        <f>IF('PSD New Unit-pot emiss'!16:16,"AAAAAG96n6g=",0)</f>
        <v>0</v>
      </c>
      <c r="FN3" t="e">
        <f>AND('PSD New Unit-pot emiss'!B16,"AAAAAG96n6k=")</f>
        <v>#VALUE!</v>
      </c>
      <c r="FO3" t="e">
        <f>AND('PSD New Unit-pot emiss'!C16,"AAAAAG96n6o=")</f>
        <v>#VALUE!</v>
      </c>
      <c r="FP3" t="e">
        <f>AND('PSD New Unit-pot emiss'!D16,"AAAAAG96n6s=")</f>
        <v>#VALUE!</v>
      </c>
      <c r="FQ3" t="e">
        <f>AND('PSD New Unit-pot emiss'!E16,"AAAAAG96n6w=")</f>
        <v>#VALUE!</v>
      </c>
      <c r="FR3" t="e">
        <f>AND('PSD New Unit-pot emiss'!F16,"AAAAAG96n60=")</f>
        <v>#VALUE!</v>
      </c>
      <c r="FS3" t="e">
        <f>AND('PSD New Unit-pot emiss'!G16,"AAAAAG96n64=")</f>
        <v>#VALUE!</v>
      </c>
      <c r="FT3" t="e">
        <f>AND('PSD New Unit-pot emiss'!H16,"AAAAAG96n68=")</f>
        <v>#VALUE!</v>
      </c>
      <c r="FU3" t="e">
        <f>AND('PSD New Unit-pot emiss'!J16,"AAAAAG96n7A=")</f>
        <v>#VALUE!</v>
      </c>
      <c r="FV3" t="e">
        <f>AND('PSD New Unit-pot emiss'!K16,"AAAAAG96n7E=")</f>
        <v>#VALUE!</v>
      </c>
      <c r="FW3" t="e">
        <f>AND('PSD New Unit-pot emiss'!L16,"AAAAAG96n7I=")</f>
        <v>#VALUE!</v>
      </c>
      <c r="FX3" t="e">
        <f>AND('PSD New Unit-pot emiss'!M16,"AAAAAG96n7M=")</f>
        <v>#VALUE!</v>
      </c>
      <c r="FY3" t="e">
        <f>AND('PSD New Unit-pot emiss'!N16,"AAAAAG96n7Q=")</f>
        <v>#VALUE!</v>
      </c>
      <c r="FZ3" t="e">
        <f>AND('PSD New Unit-pot emiss'!O16,"AAAAAG96n7U=")</f>
        <v>#VALUE!</v>
      </c>
      <c r="GA3" t="e">
        <f>AND('PSD New Unit-pot emiss'!P16,"AAAAAG96n7Y=")</f>
        <v>#VALUE!</v>
      </c>
      <c r="GB3" t="e">
        <f>AND('PSD New Unit-pot emiss'!Q16,"AAAAAG96n7c=")</f>
        <v>#VALUE!</v>
      </c>
      <c r="GC3">
        <f>IF('PSD New Unit-pot emiss'!17:17,"AAAAAG96n7g=",0)</f>
        <v>0</v>
      </c>
      <c r="GD3" t="e">
        <f>AND('PSD New Unit-pot emiss'!B17,"AAAAAG96n7k=")</f>
        <v>#VALUE!</v>
      </c>
      <c r="GE3" t="e">
        <f>AND('PSD New Unit-pot emiss'!C17,"AAAAAG96n7o=")</f>
        <v>#VALUE!</v>
      </c>
      <c r="GF3" t="e">
        <f>AND('PSD New Unit-pot emiss'!D17,"AAAAAG96n7s=")</f>
        <v>#VALUE!</v>
      </c>
      <c r="GG3" t="e">
        <f>AND('PSD New Unit-pot emiss'!E17,"AAAAAG96n7w=")</f>
        <v>#VALUE!</v>
      </c>
      <c r="GH3" t="e">
        <f>AND('PSD New Unit-pot emiss'!F17,"AAAAAG96n70=")</f>
        <v>#VALUE!</v>
      </c>
      <c r="GI3" t="e">
        <f>AND('PSD New Unit-pot emiss'!G17,"AAAAAG96n74=")</f>
        <v>#VALUE!</v>
      </c>
      <c r="GJ3" t="e">
        <f>AND('PSD New Unit-pot emiss'!H17,"AAAAAG96n78=")</f>
        <v>#VALUE!</v>
      </c>
      <c r="GK3" t="e">
        <f>AND('PSD New Unit-pot emiss'!J17,"AAAAAG96n8A=")</f>
        <v>#VALUE!</v>
      </c>
      <c r="GL3" t="e">
        <f>AND('PSD New Unit-pot emiss'!K17,"AAAAAG96n8E=")</f>
        <v>#VALUE!</v>
      </c>
      <c r="GM3" t="e">
        <f>AND('PSD New Unit-pot emiss'!L17,"AAAAAG96n8I=")</f>
        <v>#VALUE!</v>
      </c>
      <c r="GN3" t="e">
        <f>AND('PSD New Unit-pot emiss'!M17,"AAAAAG96n8M=")</f>
        <v>#VALUE!</v>
      </c>
      <c r="GO3" t="e">
        <f>AND('PSD New Unit-pot emiss'!N17,"AAAAAG96n8Q=")</f>
        <v>#VALUE!</v>
      </c>
      <c r="GP3" t="e">
        <f>AND('PSD New Unit-pot emiss'!O17,"AAAAAG96n8U=")</f>
        <v>#VALUE!</v>
      </c>
      <c r="GQ3" t="e">
        <f>AND('PSD New Unit-pot emiss'!P17,"AAAAAG96n8Y=")</f>
        <v>#VALUE!</v>
      </c>
      <c r="GR3" t="e">
        <f>AND('PSD New Unit-pot emiss'!Q17,"AAAAAG96n8c=")</f>
        <v>#VALUE!</v>
      </c>
      <c r="GS3">
        <f>IF('PSD New Unit-pot emiss'!18:18,"AAAAAG96n8g=",0)</f>
        <v>0</v>
      </c>
      <c r="GT3" t="e">
        <f>AND('PSD New Unit-pot emiss'!B18,"AAAAAG96n8k=")</f>
        <v>#VALUE!</v>
      </c>
      <c r="GU3" t="e">
        <f>AND('PSD New Unit-pot emiss'!C18,"AAAAAG96n8o=")</f>
        <v>#VALUE!</v>
      </c>
      <c r="GV3" t="e">
        <f>AND('PSD New Unit-pot emiss'!D18,"AAAAAG96n8s=")</f>
        <v>#VALUE!</v>
      </c>
      <c r="GW3" t="e">
        <f>AND('PSD New Unit-pot emiss'!E18,"AAAAAG96n8w=")</f>
        <v>#VALUE!</v>
      </c>
      <c r="GX3" t="e">
        <f>AND('PSD New Unit-pot emiss'!F18,"AAAAAG96n80=")</f>
        <v>#VALUE!</v>
      </c>
      <c r="GY3" t="e">
        <f>AND('PSD New Unit-pot emiss'!G18,"AAAAAG96n84=")</f>
        <v>#VALUE!</v>
      </c>
      <c r="GZ3" t="e">
        <f>AND('PSD New Unit-pot emiss'!H18,"AAAAAG96n88=")</f>
        <v>#VALUE!</v>
      </c>
      <c r="HA3" t="e">
        <f>AND('PSD New Unit-pot emiss'!J18,"AAAAAG96n9A=")</f>
        <v>#VALUE!</v>
      </c>
      <c r="HB3" t="e">
        <f>AND('PSD New Unit-pot emiss'!K18,"AAAAAG96n9E=")</f>
        <v>#VALUE!</v>
      </c>
      <c r="HC3" t="e">
        <f>AND('PSD New Unit-pot emiss'!L18,"AAAAAG96n9I=")</f>
        <v>#VALUE!</v>
      </c>
      <c r="HD3" t="e">
        <f>AND('PSD New Unit-pot emiss'!M18,"AAAAAG96n9M=")</f>
        <v>#VALUE!</v>
      </c>
      <c r="HE3" t="e">
        <f>AND('PSD New Unit-pot emiss'!N18,"AAAAAG96n9Q=")</f>
        <v>#VALUE!</v>
      </c>
      <c r="HF3" t="e">
        <f>AND('PSD New Unit-pot emiss'!O18,"AAAAAG96n9U=")</f>
        <v>#VALUE!</v>
      </c>
      <c r="HG3" t="e">
        <f>AND('PSD New Unit-pot emiss'!P18,"AAAAAG96n9Y=")</f>
        <v>#VALUE!</v>
      </c>
      <c r="HH3" t="e">
        <f>AND('PSD New Unit-pot emiss'!Q18,"AAAAAG96n9c=")</f>
        <v>#VALUE!</v>
      </c>
      <c r="HI3">
        <f>IF('PSD New Unit-pot emiss'!19:19,"AAAAAG96n9g=",0)</f>
        <v>0</v>
      </c>
      <c r="HJ3" t="e">
        <f>AND('PSD New Unit-pot emiss'!B19,"AAAAAG96n9k=")</f>
        <v>#VALUE!</v>
      </c>
      <c r="HK3" t="e">
        <f>AND('PSD New Unit-pot emiss'!C19,"AAAAAG96n9o=")</f>
        <v>#VALUE!</v>
      </c>
      <c r="HL3" t="e">
        <f>AND('PSD New Unit-pot emiss'!D19,"AAAAAG96n9s=")</f>
        <v>#VALUE!</v>
      </c>
      <c r="HM3" t="e">
        <f>AND('PSD New Unit-pot emiss'!E19,"AAAAAG96n9w=")</f>
        <v>#VALUE!</v>
      </c>
      <c r="HN3" t="e">
        <f>AND('PSD New Unit-pot emiss'!F19,"AAAAAG96n90=")</f>
        <v>#VALUE!</v>
      </c>
      <c r="HO3" t="e">
        <f>AND('PSD New Unit-pot emiss'!G19,"AAAAAG96n94=")</f>
        <v>#VALUE!</v>
      </c>
      <c r="HP3" t="e">
        <f>AND('PSD New Unit-pot emiss'!H19,"AAAAAG96n98=")</f>
        <v>#VALUE!</v>
      </c>
      <c r="HQ3" t="e">
        <f>AND('PSD New Unit-pot emiss'!J19,"AAAAAG96n+A=")</f>
        <v>#VALUE!</v>
      </c>
      <c r="HR3" t="e">
        <f>AND('PSD New Unit-pot emiss'!K19,"AAAAAG96n+E=")</f>
        <v>#VALUE!</v>
      </c>
      <c r="HS3" t="e">
        <f>AND('PSD New Unit-pot emiss'!L19,"AAAAAG96n+I=")</f>
        <v>#VALUE!</v>
      </c>
      <c r="HT3" t="e">
        <f>AND('PSD New Unit-pot emiss'!M19,"AAAAAG96n+M=")</f>
        <v>#VALUE!</v>
      </c>
      <c r="HU3" t="e">
        <f>AND('PSD New Unit-pot emiss'!N19,"AAAAAG96n+Q=")</f>
        <v>#VALUE!</v>
      </c>
      <c r="HV3" t="e">
        <f>AND('PSD New Unit-pot emiss'!O19,"AAAAAG96n+U=")</f>
        <v>#VALUE!</v>
      </c>
      <c r="HW3" t="e">
        <f>AND('PSD New Unit-pot emiss'!P19,"AAAAAG96n+Y=")</f>
        <v>#VALUE!</v>
      </c>
      <c r="HX3" t="e">
        <f>AND('PSD New Unit-pot emiss'!Q19,"AAAAAG96n+c=")</f>
        <v>#VALUE!</v>
      </c>
      <c r="HY3">
        <f>IF('PSD New Unit-pot emiss'!20:20,"AAAAAG96n+g=",0)</f>
        <v>0</v>
      </c>
      <c r="HZ3" t="e">
        <f>AND('PSD New Unit-pot emiss'!B20,"AAAAAG96n+k=")</f>
        <v>#VALUE!</v>
      </c>
      <c r="IA3" t="e">
        <f>AND('PSD New Unit-pot emiss'!C20,"AAAAAG96n+o=")</f>
        <v>#VALUE!</v>
      </c>
      <c r="IB3" t="e">
        <f>AND('PSD New Unit-pot emiss'!D20,"AAAAAG96n+s=")</f>
        <v>#VALUE!</v>
      </c>
      <c r="IC3" t="e">
        <f>AND('PSD New Unit-pot emiss'!E20,"AAAAAG96n+w=")</f>
        <v>#VALUE!</v>
      </c>
      <c r="ID3" t="e">
        <f>AND('PSD New Unit-pot emiss'!F20,"AAAAAG96n+0=")</f>
        <v>#VALUE!</v>
      </c>
      <c r="IE3" t="e">
        <f>AND('PSD New Unit-pot emiss'!G20,"AAAAAG96n+4=")</f>
        <v>#VALUE!</v>
      </c>
      <c r="IF3" t="e">
        <f>AND('PSD New Unit-pot emiss'!H20,"AAAAAG96n+8=")</f>
        <v>#VALUE!</v>
      </c>
      <c r="IG3" t="e">
        <f>AND('PSD New Unit-pot emiss'!J20,"AAAAAG96n/A=")</f>
        <v>#VALUE!</v>
      </c>
      <c r="IH3" t="e">
        <f>AND('PSD New Unit-pot emiss'!K20,"AAAAAG96n/E=")</f>
        <v>#VALUE!</v>
      </c>
      <c r="II3" t="e">
        <f>AND('PSD New Unit-pot emiss'!L20,"AAAAAG96n/I=")</f>
        <v>#VALUE!</v>
      </c>
      <c r="IJ3" t="e">
        <f>AND('PSD New Unit-pot emiss'!M20,"AAAAAG96n/M=")</f>
        <v>#VALUE!</v>
      </c>
      <c r="IK3" t="e">
        <f>AND('PSD New Unit-pot emiss'!N20,"AAAAAG96n/Q=")</f>
        <v>#VALUE!</v>
      </c>
      <c r="IL3" t="e">
        <f>AND('PSD New Unit-pot emiss'!O20,"AAAAAG96n/U=")</f>
        <v>#VALUE!</v>
      </c>
      <c r="IM3" t="e">
        <f>AND('PSD New Unit-pot emiss'!P20,"AAAAAG96n/Y=")</f>
        <v>#VALUE!</v>
      </c>
      <c r="IN3" t="e">
        <f>AND('PSD New Unit-pot emiss'!Q20,"AAAAAG96n/c=")</f>
        <v>#VALUE!</v>
      </c>
      <c r="IO3">
        <f>IF('PSD New Unit-pot emiss'!21:21,"AAAAAG96n/g=",0)</f>
        <v>0</v>
      </c>
      <c r="IP3" t="e">
        <f>AND('PSD New Unit-pot emiss'!B21,"AAAAAG96n/k=")</f>
        <v>#VALUE!</v>
      </c>
      <c r="IQ3" t="e">
        <f>AND('PSD New Unit-pot emiss'!C21,"AAAAAG96n/o=")</f>
        <v>#VALUE!</v>
      </c>
      <c r="IR3" t="e">
        <f>AND('PSD New Unit-pot emiss'!D21,"AAAAAG96n/s=")</f>
        <v>#VALUE!</v>
      </c>
      <c r="IS3" t="e">
        <f>AND('PSD New Unit-pot emiss'!E21,"AAAAAG96n/w=")</f>
        <v>#VALUE!</v>
      </c>
      <c r="IT3" t="e">
        <f>AND('PSD New Unit-pot emiss'!F21,"AAAAAG96n/0=")</f>
        <v>#VALUE!</v>
      </c>
      <c r="IU3" t="e">
        <f>AND('PSD New Unit-pot emiss'!G21,"AAAAAG96n/4=")</f>
        <v>#VALUE!</v>
      </c>
      <c r="IV3" t="e">
        <f>AND('PSD New Unit-pot emiss'!H21,"AAAAAG96n/8=")</f>
        <v>#VALUE!</v>
      </c>
    </row>
    <row r="4" spans="1:256" ht="15">
      <c r="A4" t="e">
        <f>AND('PSD New Unit-pot emiss'!J21,"AAAAAFX9ugA=")</f>
        <v>#VALUE!</v>
      </c>
      <c r="B4" t="e">
        <f>AND('PSD New Unit-pot emiss'!K21,"AAAAAFX9ugE=")</f>
        <v>#VALUE!</v>
      </c>
      <c r="C4" t="e">
        <f>AND('PSD New Unit-pot emiss'!L21,"AAAAAFX9ugI=")</f>
        <v>#VALUE!</v>
      </c>
      <c r="D4" t="e">
        <f>AND('PSD New Unit-pot emiss'!M21,"AAAAAFX9ugM=")</f>
        <v>#VALUE!</v>
      </c>
      <c r="E4" t="e">
        <f>AND('PSD New Unit-pot emiss'!N21,"AAAAAFX9ugQ=")</f>
        <v>#VALUE!</v>
      </c>
      <c r="F4" t="e">
        <f>AND('PSD New Unit-pot emiss'!O21,"AAAAAFX9ugU=")</f>
        <v>#VALUE!</v>
      </c>
      <c r="G4" t="e">
        <f>AND('PSD New Unit-pot emiss'!P21,"AAAAAFX9ugY=")</f>
        <v>#VALUE!</v>
      </c>
      <c r="H4" t="e">
        <f>AND('PSD New Unit-pot emiss'!Q21,"AAAAAFX9ugc=")</f>
        <v>#VALUE!</v>
      </c>
      <c r="I4">
        <f>IF('PSD New Unit-pot emiss'!22:22,"AAAAAFX9ugg=",0)</f>
        <v>0</v>
      </c>
      <c r="J4" t="e">
        <f>AND('PSD New Unit-pot emiss'!B22,"AAAAAFX9ugk=")</f>
        <v>#VALUE!</v>
      </c>
      <c r="K4" t="e">
        <f>AND('PSD New Unit-pot emiss'!C22,"AAAAAFX9ugo=")</f>
        <v>#VALUE!</v>
      </c>
      <c r="L4" t="e">
        <f>AND('PSD New Unit-pot emiss'!D22,"AAAAAFX9ugs=")</f>
        <v>#VALUE!</v>
      </c>
      <c r="M4" t="e">
        <f>AND('PSD New Unit-pot emiss'!E22,"AAAAAFX9ugw=")</f>
        <v>#VALUE!</v>
      </c>
      <c r="N4" t="e">
        <f>AND('PSD New Unit-pot emiss'!F22,"AAAAAFX9ug0=")</f>
        <v>#VALUE!</v>
      </c>
      <c r="O4" t="e">
        <f>AND('PSD New Unit-pot emiss'!G22,"AAAAAFX9ug4=")</f>
        <v>#VALUE!</v>
      </c>
      <c r="P4" t="e">
        <f>AND('PSD New Unit-pot emiss'!H22,"AAAAAFX9ug8=")</f>
        <v>#VALUE!</v>
      </c>
      <c r="Q4" t="e">
        <f>AND('PSD New Unit-pot emiss'!J22,"AAAAAFX9uhA=")</f>
        <v>#VALUE!</v>
      </c>
      <c r="R4" t="e">
        <f>AND('PSD New Unit-pot emiss'!K22,"AAAAAFX9uhE=")</f>
        <v>#VALUE!</v>
      </c>
      <c r="S4" t="e">
        <f>AND('PSD New Unit-pot emiss'!L22,"AAAAAFX9uhI=")</f>
        <v>#VALUE!</v>
      </c>
      <c r="T4" t="e">
        <f>AND('PSD New Unit-pot emiss'!M22,"AAAAAFX9uhM=")</f>
        <v>#VALUE!</v>
      </c>
      <c r="U4" t="e">
        <f>AND('PSD New Unit-pot emiss'!N22,"AAAAAFX9uhQ=")</f>
        <v>#VALUE!</v>
      </c>
      <c r="V4" t="e">
        <f>AND('PSD New Unit-pot emiss'!O22,"AAAAAFX9uhU=")</f>
        <v>#VALUE!</v>
      </c>
      <c r="W4" t="e">
        <f>AND('PSD New Unit-pot emiss'!P22,"AAAAAFX9uhY=")</f>
        <v>#VALUE!</v>
      </c>
      <c r="X4" t="e">
        <f>AND('PSD New Unit-pot emiss'!Q22,"AAAAAFX9uhc=")</f>
        <v>#VALUE!</v>
      </c>
      <c r="Y4">
        <f>IF('PSD New Unit-pot emiss'!23:23,"AAAAAFX9uhg=",0)</f>
        <v>0</v>
      </c>
      <c r="Z4" t="e">
        <f>AND('PSD New Unit-pot emiss'!B23,"AAAAAFX9uhk=")</f>
        <v>#VALUE!</v>
      </c>
      <c r="AA4" t="e">
        <f>AND('PSD New Unit-pot emiss'!C23,"AAAAAFX9uho=")</f>
        <v>#VALUE!</v>
      </c>
      <c r="AB4" t="e">
        <f>AND('PSD New Unit-pot emiss'!D23,"AAAAAFX9uhs=")</f>
        <v>#VALUE!</v>
      </c>
      <c r="AC4" t="e">
        <f>AND('PSD New Unit-pot emiss'!E23,"AAAAAFX9uhw=")</f>
        <v>#VALUE!</v>
      </c>
      <c r="AD4" t="e">
        <f>AND('PSD New Unit-pot emiss'!F23,"AAAAAFX9uh0=")</f>
        <v>#VALUE!</v>
      </c>
      <c r="AE4" t="e">
        <f>AND('PSD New Unit-pot emiss'!G23,"AAAAAFX9uh4=")</f>
        <v>#VALUE!</v>
      </c>
      <c r="AF4" t="e">
        <f>AND('PSD New Unit-pot emiss'!H23,"AAAAAFX9uh8=")</f>
        <v>#VALUE!</v>
      </c>
      <c r="AG4" t="e">
        <f>AND('PSD New Unit-pot emiss'!J23,"AAAAAFX9uiA=")</f>
        <v>#VALUE!</v>
      </c>
      <c r="AH4" t="e">
        <f>AND('PSD New Unit-pot emiss'!K23,"AAAAAFX9uiE=")</f>
        <v>#VALUE!</v>
      </c>
      <c r="AI4" t="e">
        <f>AND('PSD New Unit-pot emiss'!L23,"AAAAAFX9uiI=")</f>
        <v>#VALUE!</v>
      </c>
      <c r="AJ4" t="e">
        <f>AND('PSD New Unit-pot emiss'!M23,"AAAAAFX9uiM=")</f>
        <v>#VALUE!</v>
      </c>
      <c r="AK4" t="e">
        <f>AND('PSD New Unit-pot emiss'!N23,"AAAAAFX9uiQ=")</f>
        <v>#VALUE!</v>
      </c>
      <c r="AL4" t="e">
        <f>AND('PSD New Unit-pot emiss'!O23,"AAAAAFX9uiU=")</f>
        <v>#VALUE!</v>
      </c>
      <c r="AM4" t="e">
        <f>AND('PSD New Unit-pot emiss'!P23,"AAAAAFX9uiY=")</f>
        <v>#VALUE!</v>
      </c>
      <c r="AN4" t="e">
        <f>AND('PSD New Unit-pot emiss'!Q23,"AAAAAFX9uic=")</f>
        <v>#VALUE!</v>
      </c>
      <c r="AO4">
        <f>IF('PSD New Unit-pot emiss'!24:24,"AAAAAFX9uig=",0)</f>
        <v>0</v>
      </c>
      <c r="AP4" t="e">
        <f>AND('PSD New Unit-pot emiss'!B24,"AAAAAFX9uik=")</f>
        <v>#VALUE!</v>
      </c>
      <c r="AQ4" t="e">
        <f>AND('PSD New Unit-pot emiss'!C24,"AAAAAFX9uio=")</f>
        <v>#VALUE!</v>
      </c>
      <c r="AR4" t="e">
        <f>AND('PSD New Unit-pot emiss'!D24,"AAAAAFX9uis=")</f>
        <v>#VALUE!</v>
      </c>
      <c r="AS4" t="e">
        <f>AND('PSD New Unit-pot emiss'!E24,"AAAAAFX9uiw=")</f>
        <v>#VALUE!</v>
      </c>
      <c r="AT4" t="e">
        <f>AND('PSD New Unit-pot emiss'!F24,"AAAAAFX9ui0=")</f>
        <v>#VALUE!</v>
      </c>
      <c r="AU4" t="e">
        <f>AND('PSD New Unit-pot emiss'!G24,"AAAAAFX9ui4=")</f>
        <v>#VALUE!</v>
      </c>
      <c r="AV4" t="e">
        <f>AND('PSD New Unit-pot emiss'!H24,"AAAAAFX9ui8=")</f>
        <v>#VALUE!</v>
      </c>
      <c r="AW4" t="e">
        <f>AND('PSD New Unit-pot emiss'!J24,"AAAAAFX9ujA=")</f>
        <v>#VALUE!</v>
      </c>
      <c r="AX4" t="e">
        <f>AND('PSD New Unit-pot emiss'!K24,"AAAAAFX9ujE=")</f>
        <v>#VALUE!</v>
      </c>
      <c r="AY4" t="e">
        <f>AND('PSD New Unit-pot emiss'!L24,"AAAAAFX9ujI=")</f>
        <v>#VALUE!</v>
      </c>
      <c r="AZ4" t="e">
        <f>AND('PSD New Unit-pot emiss'!M24,"AAAAAFX9ujM=")</f>
        <v>#VALUE!</v>
      </c>
      <c r="BA4" t="e">
        <f>AND('PSD New Unit-pot emiss'!N24,"AAAAAFX9ujQ=")</f>
        <v>#VALUE!</v>
      </c>
      <c r="BB4" t="e">
        <f>AND('PSD New Unit-pot emiss'!O24,"AAAAAFX9ujU=")</f>
        <v>#VALUE!</v>
      </c>
      <c r="BC4" t="e">
        <f>AND('PSD New Unit-pot emiss'!P24,"AAAAAFX9ujY=")</f>
        <v>#VALUE!</v>
      </c>
      <c r="BD4" t="e">
        <f>AND('PSD New Unit-pot emiss'!Q24,"AAAAAFX9ujc=")</f>
        <v>#VALUE!</v>
      </c>
      <c r="BE4">
        <f>IF('PSD New Unit-pot emiss'!25:25,"AAAAAFX9ujg=",0)</f>
        <v>0</v>
      </c>
      <c r="BF4" t="e">
        <f>AND('PSD New Unit-pot emiss'!B25,"AAAAAFX9ujk=")</f>
        <v>#VALUE!</v>
      </c>
      <c r="BG4" t="e">
        <f>AND('PSD New Unit-pot emiss'!C25,"AAAAAFX9ujo=")</f>
        <v>#VALUE!</v>
      </c>
      <c r="BH4" t="e">
        <f>AND('PSD New Unit-pot emiss'!D25,"AAAAAFX9ujs=")</f>
        <v>#VALUE!</v>
      </c>
      <c r="BI4" t="e">
        <f>AND('PSD New Unit-pot emiss'!E25,"AAAAAFX9ujw=")</f>
        <v>#VALUE!</v>
      </c>
      <c r="BJ4" t="e">
        <f>AND('PSD New Unit-pot emiss'!F25,"AAAAAFX9uj0=")</f>
        <v>#VALUE!</v>
      </c>
      <c r="BK4" t="e">
        <f>AND('PSD New Unit-pot emiss'!G25,"AAAAAFX9uj4=")</f>
        <v>#VALUE!</v>
      </c>
      <c r="BL4" t="e">
        <f>AND('PSD New Unit-pot emiss'!H25,"AAAAAFX9uj8=")</f>
        <v>#VALUE!</v>
      </c>
      <c r="BM4" t="e">
        <f>AND('PSD New Unit-pot emiss'!J25,"AAAAAFX9ukA=")</f>
        <v>#VALUE!</v>
      </c>
      <c r="BN4" t="e">
        <f>AND('PSD New Unit-pot emiss'!K25,"AAAAAFX9ukE=")</f>
        <v>#VALUE!</v>
      </c>
      <c r="BO4" t="e">
        <f>AND('PSD New Unit-pot emiss'!L25,"AAAAAFX9ukI=")</f>
        <v>#VALUE!</v>
      </c>
      <c r="BP4" t="e">
        <f>AND('PSD New Unit-pot emiss'!M25,"AAAAAFX9ukM=")</f>
        <v>#VALUE!</v>
      </c>
      <c r="BQ4" t="e">
        <f>AND('PSD New Unit-pot emiss'!N25,"AAAAAFX9ukQ=")</f>
        <v>#VALUE!</v>
      </c>
      <c r="BR4" t="e">
        <f>AND('PSD New Unit-pot emiss'!O25,"AAAAAFX9ukU=")</f>
        <v>#VALUE!</v>
      </c>
      <c r="BS4" t="e">
        <f>AND('PSD New Unit-pot emiss'!P25,"AAAAAFX9ukY=")</f>
        <v>#VALUE!</v>
      </c>
      <c r="BT4" t="e">
        <f>AND('PSD New Unit-pot emiss'!Q25,"AAAAAFX9ukc=")</f>
        <v>#VALUE!</v>
      </c>
      <c r="BU4" t="e">
        <f>IF('PSD New Unit-pot emiss'!#REF!,"AAAAAFX9ukg=",0)</f>
        <v>#REF!</v>
      </c>
      <c r="BV4" t="e">
        <f>AND('PSD New Unit-pot emiss'!#REF!,"AAAAAFX9ukk=")</f>
        <v>#REF!</v>
      </c>
      <c r="BW4" t="e">
        <f>AND('PSD New Unit-pot emiss'!#REF!,"AAAAAFX9uko=")</f>
        <v>#REF!</v>
      </c>
      <c r="BX4" t="e">
        <f>AND('PSD New Unit-pot emiss'!#REF!,"AAAAAFX9uks=")</f>
        <v>#REF!</v>
      </c>
      <c r="BY4" t="e">
        <f>AND('PSD New Unit-pot emiss'!#REF!,"AAAAAFX9ukw=")</f>
        <v>#REF!</v>
      </c>
      <c r="BZ4" t="e">
        <f>AND('PSD New Unit-pot emiss'!#REF!,"AAAAAFX9uk0=")</f>
        <v>#REF!</v>
      </c>
      <c r="CA4" t="e">
        <f>AND('PSD New Unit-pot emiss'!#REF!,"AAAAAFX9uk4=")</f>
        <v>#REF!</v>
      </c>
      <c r="CB4" t="e">
        <f>AND('PSD New Unit-pot emiss'!#REF!,"AAAAAFX9uk8=")</f>
        <v>#REF!</v>
      </c>
      <c r="CC4" t="e">
        <f>AND('PSD New Unit-pot emiss'!#REF!,"AAAAAFX9ulA=")</f>
        <v>#REF!</v>
      </c>
      <c r="CD4" t="e">
        <f>AND('PSD New Unit-pot emiss'!#REF!,"AAAAAFX9ulE=")</f>
        <v>#REF!</v>
      </c>
      <c r="CE4" t="e">
        <f>AND('PSD New Unit-pot emiss'!#REF!,"AAAAAFX9ulI=")</f>
        <v>#REF!</v>
      </c>
      <c r="CF4" t="e">
        <f>AND('PSD New Unit-pot emiss'!#REF!,"AAAAAFX9ulM=")</f>
        <v>#REF!</v>
      </c>
      <c r="CG4" t="e">
        <f>AND('PSD New Unit-pot emiss'!#REF!,"AAAAAFX9ulQ=")</f>
        <v>#REF!</v>
      </c>
      <c r="CH4" t="e">
        <f>AND('PSD New Unit-pot emiss'!#REF!,"AAAAAFX9ulU=")</f>
        <v>#REF!</v>
      </c>
      <c r="CI4" t="e">
        <f>AND('PSD New Unit-pot emiss'!#REF!,"AAAAAFX9ulY=")</f>
        <v>#REF!</v>
      </c>
      <c r="CJ4" t="e">
        <f>AND('PSD New Unit-pot emiss'!#REF!,"AAAAAFX9ulc=")</f>
        <v>#REF!</v>
      </c>
      <c r="CK4" t="e">
        <f>IF('PSD New Unit-pot emiss'!#REF!,"AAAAAFX9ulg=",0)</f>
        <v>#REF!</v>
      </c>
      <c r="CL4" t="e">
        <f>AND('PSD New Unit-pot emiss'!#REF!,"AAAAAFX9ulk=")</f>
        <v>#REF!</v>
      </c>
      <c r="CM4" t="e">
        <f>AND('PSD New Unit-pot emiss'!#REF!,"AAAAAFX9ulo=")</f>
        <v>#REF!</v>
      </c>
      <c r="CN4" t="e">
        <f>AND('PSD New Unit-pot emiss'!#REF!,"AAAAAFX9uls=")</f>
        <v>#REF!</v>
      </c>
      <c r="CO4" t="e">
        <f>AND('PSD New Unit-pot emiss'!#REF!,"AAAAAFX9ulw=")</f>
        <v>#REF!</v>
      </c>
      <c r="CP4" t="e">
        <f>AND('PSD New Unit-pot emiss'!#REF!,"AAAAAFX9ul0=")</f>
        <v>#REF!</v>
      </c>
      <c r="CQ4" t="e">
        <f>AND('PSD New Unit-pot emiss'!#REF!,"AAAAAFX9ul4=")</f>
        <v>#REF!</v>
      </c>
      <c r="CR4" t="e">
        <f>AND('PSD New Unit-pot emiss'!#REF!,"AAAAAFX9ul8=")</f>
        <v>#REF!</v>
      </c>
      <c r="CS4" t="e">
        <f>AND('PSD New Unit-pot emiss'!#REF!,"AAAAAFX9umA=")</f>
        <v>#REF!</v>
      </c>
      <c r="CT4" t="e">
        <f>AND('PSD New Unit-pot emiss'!#REF!,"AAAAAFX9umE=")</f>
        <v>#REF!</v>
      </c>
      <c r="CU4" t="e">
        <f>AND('PSD New Unit-pot emiss'!#REF!,"AAAAAFX9umI=")</f>
        <v>#REF!</v>
      </c>
      <c r="CV4" t="e">
        <f>AND('PSD New Unit-pot emiss'!#REF!,"AAAAAFX9umM=")</f>
        <v>#REF!</v>
      </c>
      <c r="CW4" t="e">
        <f>AND('PSD New Unit-pot emiss'!#REF!,"AAAAAFX9umQ=")</f>
        <v>#REF!</v>
      </c>
      <c r="CX4" t="e">
        <f>AND('PSD New Unit-pot emiss'!#REF!,"AAAAAFX9umU=")</f>
        <v>#REF!</v>
      </c>
      <c r="CY4" t="e">
        <f>AND('PSD New Unit-pot emiss'!#REF!,"AAAAAFX9umY=")</f>
        <v>#REF!</v>
      </c>
      <c r="CZ4" t="e">
        <f>AND('PSD New Unit-pot emiss'!#REF!,"AAAAAFX9umc=")</f>
        <v>#REF!</v>
      </c>
      <c r="DA4" t="e">
        <f>IF('PSD New Unit-pot emiss'!#REF!,"AAAAAFX9umg=",0)</f>
        <v>#REF!</v>
      </c>
      <c r="DB4" t="e">
        <f>AND('PSD New Unit-pot emiss'!#REF!,"AAAAAFX9umk=")</f>
        <v>#REF!</v>
      </c>
      <c r="DC4" t="e">
        <f>AND('PSD New Unit-pot emiss'!#REF!,"AAAAAFX9umo=")</f>
        <v>#REF!</v>
      </c>
      <c r="DD4" t="e">
        <f>AND('PSD New Unit-pot emiss'!#REF!,"AAAAAFX9ums=")</f>
        <v>#REF!</v>
      </c>
      <c r="DE4" t="e">
        <f>AND('PSD New Unit-pot emiss'!#REF!,"AAAAAFX9umw=")</f>
        <v>#REF!</v>
      </c>
      <c r="DF4" t="e">
        <f>AND('PSD New Unit-pot emiss'!#REF!,"AAAAAFX9um0=")</f>
        <v>#REF!</v>
      </c>
      <c r="DG4" t="e">
        <f>AND('PSD New Unit-pot emiss'!#REF!,"AAAAAFX9um4=")</f>
        <v>#REF!</v>
      </c>
      <c r="DH4" t="e">
        <f>AND('PSD New Unit-pot emiss'!#REF!,"AAAAAFX9um8=")</f>
        <v>#REF!</v>
      </c>
      <c r="DI4" t="e">
        <f>AND('PSD New Unit-pot emiss'!#REF!,"AAAAAFX9unA=")</f>
        <v>#REF!</v>
      </c>
      <c r="DJ4" t="e">
        <f>AND('PSD New Unit-pot emiss'!#REF!,"AAAAAFX9unE=")</f>
        <v>#REF!</v>
      </c>
      <c r="DK4" t="e">
        <f>AND('PSD New Unit-pot emiss'!#REF!,"AAAAAFX9unI=")</f>
        <v>#REF!</v>
      </c>
      <c r="DL4" t="e">
        <f>AND('PSD New Unit-pot emiss'!#REF!,"AAAAAFX9unM=")</f>
        <v>#REF!</v>
      </c>
      <c r="DM4" t="e">
        <f>AND('PSD New Unit-pot emiss'!#REF!,"AAAAAFX9unQ=")</f>
        <v>#REF!</v>
      </c>
      <c r="DN4" t="e">
        <f>AND('PSD New Unit-pot emiss'!#REF!,"AAAAAFX9unU=")</f>
        <v>#REF!</v>
      </c>
      <c r="DO4" t="e">
        <f>AND('PSD New Unit-pot emiss'!#REF!,"AAAAAFX9unY=")</f>
        <v>#REF!</v>
      </c>
      <c r="DP4" t="e">
        <f>AND('PSD New Unit-pot emiss'!#REF!,"AAAAAFX9unc=")</f>
        <v>#REF!</v>
      </c>
      <c r="DQ4" t="e">
        <f>IF('PSD New Unit-pot emiss'!#REF!,"AAAAAFX9ung=",0)</f>
        <v>#REF!</v>
      </c>
      <c r="DR4" t="e">
        <f>AND('PSD New Unit-pot emiss'!#REF!,"AAAAAFX9unk=")</f>
        <v>#REF!</v>
      </c>
      <c r="DS4" t="e">
        <f>AND('PSD New Unit-pot emiss'!#REF!,"AAAAAFX9uno=")</f>
        <v>#REF!</v>
      </c>
      <c r="DT4" t="e">
        <f>AND('PSD New Unit-pot emiss'!#REF!,"AAAAAFX9uns=")</f>
        <v>#REF!</v>
      </c>
      <c r="DU4" t="e">
        <f>AND('PSD New Unit-pot emiss'!#REF!,"AAAAAFX9unw=")</f>
        <v>#REF!</v>
      </c>
      <c r="DV4" t="e">
        <f>AND('PSD New Unit-pot emiss'!#REF!,"AAAAAFX9un0=")</f>
        <v>#REF!</v>
      </c>
      <c r="DW4" t="e">
        <f>AND('PSD New Unit-pot emiss'!#REF!,"AAAAAFX9un4=")</f>
        <v>#REF!</v>
      </c>
      <c r="DX4" t="e">
        <f>AND('PSD New Unit-pot emiss'!#REF!,"AAAAAFX9un8=")</f>
        <v>#REF!</v>
      </c>
      <c r="DY4" t="e">
        <f>AND('PSD New Unit-pot emiss'!#REF!,"AAAAAFX9uoA=")</f>
        <v>#REF!</v>
      </c>
      <c r="DZ4" t="e">
        <f>AND('PSD New Unit-pot emiss'!#REF!,"AAAAAFX9uoE=")</f>
        <v>#REF!</v>
      </c>
      <c r="EA4" t="e">
        <f>AND('PSD New Unit-pot emiss'!#REF!,"AAAAAFX9uoI=")</f>
        <v>#REF!</v>
      </c>
      <c r="EB4" t="e">
        <f>AND('PSD New Unit-pot emiss'!#REF!,"AAAAAFX9uoM=")</f>
        <v>#REF!</v>
      </c>
      <c r="EC4" t="e">
        <f>AND('PSD New Unit-pot emiss'!#REF!,"AAAAAFX9uoQ=")</f>
        <v>#REF!</v>
      </c>
      <c r="ED4" t="e">
        <f>AND('PSD New Unit-pot emiss'!#REF!,"AAAAAFX9uoU=")</f>
        <v>#REF!</v>
      </c>
      <c r="EE4" t="e">
        <f>AND('PSD New Unit-pot emiss'!#REF!,"AAAAAFX9uoY=")</f>
        <v>#REF!</v>
      </c>
      <c r="EF4" t="e">
        <f>AND('PSD New Unit-pot emiss'!#REF!,"AAAAAFX9uoc=")</f>
        <v>#REF!</v>
      </c>
      <c r="EG4" t="e">
        <f>IF('PSD New Unit-pot emiss'!#REF!,"AAAAAFX9uog=",0)</f>
        <v>#REF!</v>
      </c>
      <c r="EH4" t="e">
        <f>AND('PSD New Unit-pot emiss'!#REF!,"AAAAAFX9uok=")</f>
        <v>#REF!</v>
      </c>
      <c r="EI4" t="e">
        <f>AND('PSD New Unit-pot emiss'!#REF!,"AAAAAFX9uoo=")</f>
        <v>#REF!</v>
      </c>
      <c r="EJ4" t="e">
        <f>AND('PSD New Unit-pot emiss'!#REF!,"AAAAAFX9uos=")</f>
        <v>#REF!</v>
      </c>
      <c r="EK4" t="e">
        <f>AND('PSD New Unit-pot emiss'!#REF!,"AAAAAFX9uow=")</f>
        <v>#REF!</v>
      </c>
      <c r="EL4" t="e">
        <f>AND('PSD New Unit-pot emiss'!#REF!,"AAAAAFX9uo0=")</f>
        <v>#REF!</v>
      </c>
      <c r="EM4" t="e">
        <f>AND('PSD New Unit-pot emiss'!#REF!,"AAAAAFX9uo4=")</f>
        <v>#REF!</v>
      </c>
      <c r="EN4" t="e">
        <f>AND('PSD New Unit-pot emiss'!#REF!,"AAAAAFX9uo8=")</f>
        <v>#REF!</v>
      </c>
      <c r="EO4" t="e">
        <f>AND('PSD New Unit-pot emiss'!#REF!,"AAAAAFX9upA=")</f>
        <v>#REF!</v>
      </c>
      <c r="EP4" t="e">
        <f>AND('PSD New Unit-pot emiss'!#REF!,"AAAAAFX9upE=")</f>
        <v>#REF!</v>
      </c>
      <c r="EQ4" t="e">
        <f>AND('PSD New Unit-pot emiss'!#REF!,"AAAAAFX9upI=")</f>
        <v>#REF!</v>
      </c>
      <c r="ER4" t="e">
        <f>AND('PSD New Unit-pot emiss'!#REF!,"AAAAAFX9upM=")</f>
        <v>#REF!</v>
      </c>
      <c r="ES4" t="e">
        <f>AND('PSD New Unit-pot emiss'!#REF!,"AAAAAFX9upQ=")</f>
        <v>#REF!</v>
      </c>
      <c r="ET4" t="e">
        <f>AND('PSD New Unit-pot emiss'!#REF!,"AAAAAFX9upU=")</f>
        <v>#REF!</v>
      </c>
      <c r="EU4" t="e">
        <f>AND('PSD New Unit-pot emiss'!#REF!,"AAAAAFX9upY=")</f>
        <v>#REF!</v>
      </c>
      <c r="EV4" t="e">
        <f>AND('PSD New Unit-pot emiss'!#REF!,"AAAAAFX9upc=")</f>
        <v>#REF!</v>
      </c>
      <c r="EW4" t="e">
        <f>IF('PSD New Unit-pot emiss'!#REF!,"AAAAAFX9upg=",0)</f>
        <v>#REF!</v>
      </c>
      <c r="EX4" t="e">
        <f>AND('PSD New Unit-pot emiss'!#REF!,"AAAAAFX9upk=")</f>
        <v>#REF!</v>
      </c>
      <c r="EY4" t="e">
        <f>AND('PSD New Unit-pot emiss'!#REF!,"AAAAAFX9upo=")</f>
        <v>#REF!</v>
      </c>
      <c r="EZ4" t="e">
        <f>AND('PSD New Unit-pot emiss'!#REF!,"AAAAAFX9ups=")</f>
        <v>#REF!</v>
      </c>
      <c r="FA4" t="e">
        <f>AND('PSD New Unit-pot emiss'!#REF!,"AAAAAFX9upw=")</f>
        <v>#REF!</v>
      </c>
      <c r="FB4" t="e">
        <f>AND('PSD New Unit-pot emiss'!#REF!,"AAAAAFX9up0=")</f>
        <v>#REF!</v>
      </c>
      <c r="FC4" t="e">
        <f>AND('PSD New Unit-pot emiss'!#REF!,"AAAAAFX9up4=")</f>
        <v>#REF!</v>
      </c>
      <c r="FD4" t="e">
        <f>AND('PSD New Unit-pot emiss'!#REF!,"AAAAAFX9up8=")</f>
        <v>#REF!</v>
      </c>
      <c r="FE4" t="e">
        <f>AND('PSD New Unit-pot emiss'!#REF!,"AAAAAFX9uqA=")</f>
        <v>#REF!</v>
      </c>
      <c r="FF4" t="e">
        <f>AND('PSD New Unit-pot emiss'!#REF!,"AAAAAFX9uqE=")</f>
        <v>#REF!</v>
      </c>
      <c r="FG4" t="e">
        <f>AND('PSD New Unit-pot emiss'!#REF!,"AAAAAFX9uqI=")</f>
        <v>#REF!</v>
      </c>
      <c r="FH4" t="e">
        <f>AND('PSD New Unit-pot emiss'!#REF!,"AAAAAFX9uqM=")</f>
        <v>#REF!</v>
      </c>
      <c r="FI4" t="e">
        <f>AND('PSD New Unit-pot emiss'!#REF!,"AAAAAFX9uqQ=")</f>
        <v>#REF!</v>
      </c>
      <c r="FJ4" t="e">
        <f>AND('PSD New Unit-pot emiss'!#REF!,"AAAAAFX9uqU=")</f>
        <v>#REF!</v>
      </c>
      <c r="FK4" t="e">
        <f>AND('PSD New Unit-pot emiss'!#REF!,"AAAAAFX9uqY=")</f>
        <v>#REF!</v>
      </c>
      <c r="FL4" t="e">
        <f>AND('PSD New Unit-pot emiss'!#REF!,"AAAAAFX9uqc=")</f>
        <v>#REF!</v>
      </c>
      <c r="FM4" t="e">
        <f>IF('PSD New Unit-pot emiss'!#REF!,"AAAAAFX9uqg=",0)</f>
        <v>#REF!</v>
      </c>
      <c r="FN4" t="e">
        <f>AND('PSD New Unit-pot emiss'!#REF!,"AAAAAFX9uqk=")</f>
        <v>#REF!</v>
      </c>
      <c r="FO4" t="e">
        <f>AND('PSD New Unit-pot emiss'!#REF!,"AAAAAFX9uqo=")</f>
        <v>#REF!</v>
      </c>
      <c r="FP4" t="e">
        <f>AND('PSD New Unit-pot emiss'!#REF!,"AAAAAFX9uqs=")</f>
        <v>#REF!</v>
      </c>
      <c r="FQ4" t="e">
        <f>AND('PSD New Unit-pot emiss'!#REF!,"AAAAAFX9uqw=")</f>
        <v>#REF!</v>
      </c>
      <c r="FR4" t="e">
        <f>AND('PSD New Unit-pot emiss'!#REF!,"AAAAAFX9uq0=")</f>
        <v>#REF!</v>
      </c>
      <c r="FS4" t="e">
        <f>AND('PSD New Unit-pot emiss'!#REF!,"AAAAAFX9uq4=")</f>
        <v>#REF!</v>
      </c>
      <c r="FT4" t="e">
        <f>AND('PSD New Unit-pot emiss'!#REF!,"AAAAAFX9uq8=")</f>
        <v>#REF!</v>
      </c>
      <c r="FU4" t="e">
        <f>AND('PSD New Unit-pot emiss'!#REF!,"AAAAAFX9urA=")</f>
        <v>#REF!</v>
      </c>
      <c r="FV4" t="e">
        <f>AND('PSD New Unit-pot emiss'!#REF!,"AAAAAFX9urE=")</f>
        <v>#REF!</v>
      </c>
      <c r="FW4" t="e">
        <f>AND('PSD New Unit-pot emiss'!#REF!,"AAAAAFX9urI=")</f>
        <v>#REF!</v>
      </c>
      <c r="FX4" t="e">
        <f>AND('PSD New Unit-pot emiss'!#REF!,"AAAAAFX9urM=")</f>
        <v>#REF!</v>
      </c>
      <c r="FY4" t="e">
        <f>AND('PSD New Unit-pot emiss'!#REF!,"AAAAAFX9urQ=")</f>
        <v>#REF!</v>
      </c>
      <c r="FZ4" t="e">
        <f>AND('PSD New Unit-pot emiss'!#REF!,"AAAAAFX9urU=")</f>
        <v>#REF!</v>
      </c>
      <c r="GA4" t="e">
        <f>AND('PSD New Unit-pot emiss'!#REF!,"AAAAAFX9urY=")</f>
        <v>#REF!</v>
      </c>
      <c r="GB4" t="e">
        <f>AND('PSD New Unit-pot emiss'!#REF!,"AAAAAFX9urc=")</f>
        <v>#REF!</v>
      </c>
      <c r="GC4" t="e">
        <f>IF('PSD New Unit-pot emiss'!#REF!,"AAAAAFX9urg=",0)</f>
        <v>#REF!</v>
      </c>
      <c r="GD4" t="e">
        <f>AND('PSD New Unit-pot emiss'!#REF!,"AAAAAFX9urk=")</f>
        <v>#REF!</v>
      </c>
      <c r="GE4" t="e">
        <f>AND('PSD New Unit-pot emiss'!#REF!,"AAAAAFX9uro=")</f>
        <v>#REF!</v>
      </c>
      <c r="GF4" t="e">
        <f>AND('PSD New Unit-pot emiss'!#REF!,"AAAAAFX9urs=")</f>
        <v>#REF!</v>
      </c>
      <c r="GG4" t="e">
        <f>AND('PSD New Unit-pot emiss'!#REF!,"AAAAAFX9urw=")</f>
        <v>#REF!</v>
      </c>
      <c r="GH4" t="e">
        <f>AND('PSD New Unit-pot emiss'!#REF!,"AAAAAFX9ur0=")</f>
        <v>#REF!</v>
      </c>
      <c r="GI4" t="e">
        <f>AND('PSD New Unit-pot emiss'!#REF!,"AAAAAFX9ur4=")</f>
        <v>#REF!</v>
      </c>
      <c r="GJ4" t="e">
        <f>AND('PSD New Unit-pot emiss'!#REF!,"AAAAAFX9ur8=")</f>
        <v>#REF!</v>
      </c>
      <c r="GK4" t="e">
        <f>AND('PSD New Unit-pot emiss'!#REF!,"AAAAAFX9usA=")</f>
        <v>#REF!</v>
      </c>
      <c r="GL4" t="e">
        <f>AND('PSD New Unit-pot emiss'!#REF!,"AAAAAFX9usE=")</f>
        <v>#REF!</v>
      </c>
      <c r="GM4" t="e">
        <f>AND('PSD New Unit-pot emiss'!#REF!,"AAAAAFX9usI=")</f>
        <v>#REF!</v>
      </c>
      <c r="GN4" t="e">
        <f>AND('PSD New Unit-pot emiss'!#REF!,"AAAAAFX9usM=")</f>
        <v>#REF!</v>
      </c>
      <c r="GO4" t="e">
        <f>AND('PSD New Unit-pot emiss'!#REF!,"AAAAAFX9usQ=")</f>
        <v>#REF!</v>
      </c>
      <c r="GP4" t="e">
        <f>AND('PSD New Unit-pot emiss'!#REF!,"AAAAAFX9usU=")</f>
        <v>#REF!</v>
      </c>
      <c r="GQ4" t="e">
        <f>AND('PSD New Unit-pot emiss'!#REF!,"AAAAAFX9usY=")</f>
        <v>#REF!</v>
      </c>
      <c r="GR4" t="e">
        <f>AND('PSD New Unit-pot emiss'!#REF!,"AAAAAFX9usc=")</f>
        <v>#REF!</v>
      </c>
      <c r="GS4">
        <f>IF('PSD New Unit-pot emiss'!26:26,"AAAAAFX9usg=",0)</f>
        <v>0</v>
      </c>
      <c r="GT4">
        <f>IF('PSD New Unit-pot emiss'!27:27,"AAAAAFX9usk=",0)</f>
        <v>0</v>
      </c>
      <c r="GU4">
        <f>IF('PSD New Unit-pot emiss'!28:28,"AAAAAFX9uso=",0)</f>
        <v>0</v>
      </c>
      <c r="GV4">
        <f>IF('PSD New Unit-pot emiss'!29:29,"AAAAAFX9uss=",0)</f>
        <v>0</v>
      </c>
      <c r="GW4">
        <f>IF('PSD New Unit-pot emiss'!30:30,"AAAAAFX9usw=",0)</f>
        <v>0</v>
      </c>
      <c r="GX4">
        <f>IF('PSD New Unit-pot emiss'!31:31,"AAAAAFX9us0=",0)</f>
        <v>0</v>
      </c>
      <c r="GY4">
        <f>IF('PSD New Unit-pot emiss'!32:32,"AAAAAFX9us4=",0)</f>
        <v>0</v>
      </c>
      <c r="GZ4">
        <f>IF('PSD New Unit-pot emiss'!33:33,"AAAAAFX9us8=",0)</f>
        <v>0</v>
      </c>
      <c r="HA4">
        <f>IF('PSD New Unit-pot emiss'!34:34,"AAAAAFX9utA=",0)</f>
        <v>0</v>
      </c>
      <c r="HB4">
        <f>IF('PSD New Unit-pot emiss'!35:35,"AAAAAFX9utE=",0)</f>
        <v>0</v>
      </c>
      <c r="HC4">
        <f>IF('PSD New Unit-pot emiss'!36:36,"AAAAAFX9utI=",0)</f>
        <v>0</v>
      </c>
      <c r="HD4">
        <f>IF('PSD New Unit-pot emiss'!37:37,"AAAAAFX9utM=",0)</f>
        <v>0</v>
      </c>
      <c r="HE4">
        <f>IF('PSD New Unit-pot emiss'!A:A,"AAAAAFX9utQ=",0)</f>
        <v>0</v>
      </c>
      <c r="HF4">
        <f>IF('PSD New Unit-pot emiss'!B:B,"AAAAAFX9utU=",0)</f>
        <v>0</v>
      </c>
      <c r="HG4" t="str">
        <f>IF('PSD New Unit-pot emiss'!C:C,"AAAAAFX9utY=",0)</f>
        <v>AAAAAFX9utY=</v>
      </c>
      <c r="HH4" t="e">
        <f>IF('PSD New Unit-pot emiss'!D:D,"AAAAAFX9utc=",0)</f>
        <v>#VALUE!</v>
      </c>
      <c r="HI4" t="str">
        <f>IF('PSD New Unit-pot emiss'!E:E,"AAAAAFX9utg=",0)</f>
        <v>AAAAAFX9utg=</v>
      </c>
      <c r="HJ4" t="str">
        <f>IF('PSD New Unit-pot emiss'!F:F,"AAAAAFX9utk=",0)</f>
        <v>AAAAAFX9utk=</v>
      </c>
      <c r="HK4" t="str">
        <f>IF('PSD New Unit-pot emiss'!G:G,"AAAAAFX9uto=",0)</f>
        <v>AAAAAFX9uto=</v>
      </c>
      <c r="HL4" t="str">
        <f>IF('PSD New Unit-pot emiss'!H:H,"AAAAAFX9uts=",0)</f>
        <v>AAAAAFX9uts=</v>
      </c>
      <c r="HM4" t="str">
        <f>IF('PSD New Unit-pot emiss'!J:J,"AAAAAFX9utw=",0)</f>
        <v>AAAAAFX9utw=</v>
      </c>
      <c r="HN4" t="str">
        <f>IF('PSD New Unit-pot emiss'!K:K,"AAAAAFX9ut0=",0)</f>
        <v>AAAAAFX9ut0=</v>
      </c>
      <c r="HO4" t="str">
        <f>IF('PSD New Unit-pot emiss'!L:L,"AAAAAFX9ut4=",0)</f>
        <v>AAAAAFX9ut4=</v>
      </c>
      <c r="HP4">
        <f>IF('PSD New Unit-pot emiss'!M:M,"AAAAAFX9ut8=",0)</f>
        <v>0</v>
      </c>
      <c r="HQ4">
        <f>IF('PSD New Unit-pot emiss'!N:N,"AAAAAFX9uuA=",0)</f>
        <v>0</v>
      </c>
      <c r="HR4">
        <f>IF('PSD New Unit-pot emiss'!O:O,"AAAAAFX9uuE=",0)</f>
        <v>0</v>
      </c>
      <c r="HS4">
        <f>IF('PSD New Unit-pot emiss'!P:P,"AAAAAFX9uuI=",0)</f>
        <v>0</v>
      </c>
      <c r="HT4">
        <f>IF('PSD New Unit-pot emiss'!Q:Q,"AAAAAFX9uuM=",0)</f>
        <v>0</v>
      </c>
      <c r="HU4" t="e">
        <f>IF(#REF!,"AAAAAFX9uuQ=",0)</f>
        <v>#REF!</v>
      </c>
      <c r="HV4" t="e">
        <f>AND(#REF!,"AAAAAFX9uuU=")</f>
        <v>#REF!</v>
      </c>
      <c r="HW4" t="e">
        <f>AND(#REF!,"AAAAAFX9uuY=")</f>
        <v>#REF!</v>
      </c>
      <c r="HX4" t="e">
        <f>AND(#REF!,"AAAAAFX9uuc=")</f>
        <v>#REF!</v>
      </c>
      <c r="HY4" t="e">
        <f>AND(#REF!,"AAAAAFX9uug=")</f>
        <v>#REF!</v>
      </c>
      <c r="HZ4" t="e">
        <f>AND(#REF!,"AAAAAFX9uuk=")</f>
        <v>#REF!</v>
      </c>
      <c r="IA4" t="e">
        <f>AND(#REF!,"AAAAAFX9uuo=")</f>
        <v>#REF!</v>
      </c>
      <c r="IB4" t="e">
        <f>AND(#REF!,"AAAAAFX9uus=")</f>
        <v>#REF!</v>
      </c>
      <c r="IC4" t="e">
        <f>AND(#REF!,"AAAAAFX9uuw=")</f>
        <v>#REF!</v>
      </c>
      <c r="ID4" t="e">
        <f>AND(#REF!,"AAAAAFX9uu0=")</f>
        <v>#REF!</v>
      </c>
      <c r="IE4" t="e">
        <f>AND(#REF!,"AAAAAFX9uu4=")</f>
        <v>#REF!</v>
      </c>
      <c r="IF4" t="e">
        <f>AND(#REF!,"AAAAAFX9uu8=")</f>
        <v>#REF!</v>
      </c>
      <c r="IG4" t="e">
        <f>AND(#REF!,"AAAAAFX9uvA=")</f>
        <v>#REF!</v>
      </c>
      <c r="IH4" t="e">
        <f>AND(#REF!,"AAAAAFX9uvE=")</f>
        <v>#REF!</v>
      </c>
      <c r="II4" t="e">
        <f>AND(#REF!,"AAAAAFX9uvI=")</f>
        <v>#REF!</v>
      </c>
      <c r="IJ4" t="e">
        <f>AND(#REF!,"AAAAAFX9uvM=")</f>
        <v>#REF!</v>
      </c>
      <c r="IK4" t="e">
        <f>AND(#REF!,"AAAAAFX9uvQ=")</f>
        <v>#REF!</v>
      </c>
      <c r="IL4" t="e">
        <f>AND(#REF!,"AAAAAFX9uvU=")</f>
        <v>#REF!</v>
      </c>
      <c r="IM4" t="e">
        <f>AND(#REF!,"AAAAAFX9uvY=")</f>
        <v>#REF!</v>
      </c>
      <c r="IN4" t="e">
        <f>AND(#REF!,"AAAAAFX9uvc=")</f>
        <v>#REF!</v>
      </c>
      <c r="IO4" t="e">
        <f>AND(#REF!,"AAAAAFX9uvg=")</f>
        <v>#REF!</v>
      </c>
      <c r="IP4" t="e">
        <f>AND(#REF!,"AAAAAFX9uvk=")</f>
        <v>#REF!</v>
      </c>
      <c r="IQ4" t="e">
        <f>AND(#REF!,"AAAAAFX9uvo=")</f>
        <v>#REF!</v>
      </c>
      <c r="IR4" t="e">
        <f>IF(#REF!,"AAAAAFX9uvs=",0)</f>
        <v>#REF!</v>
      </c>
      <c r="IS4" t="e">
        <f>AND(#REF!,"AAAAAFX9uvw=")</f>
        <v>#REF!</v>
      </c>
      <c r="IT4" t="e">
        <f>AND(#REF!,"AAAAAFX9uv0=")</f>
        <v>#REF!</v>
      </c>
      <c r="IU4" t="e">
        <f>AND(#REF!,"AAAAAFX9uv4=")</f>
        <v>#REF!</v>
      </c>
      <c r="IV4" t="e">
        <f>AND(#REF!,"AAAAAFX9uv8=")</f>
        <v>#REF!</v>
      </c>
    </row>
    <row r="5" spans="1:256" ht="15">
      <c r="A5" t="e">
        <f>AND(#REF!,"AAAAAHz73QA=")</f>
        <v>#REF!</v>
      </c>
      <c r="B5" t="e">
        <f>AND(#REF!,"AAAAAHz73QE=")</f>
        <v>#REF!</v>
      </c>
      <c r="C5" t="e">
        <f>AND(#REF!,"AAAAAHz73QI=")</f>
        <v>#REF!</v>
      </c>
      <c r="D5" t="e">
        <f>AND(#REF!,"AAAAAHz73QM=")</f>
        <v>#REF!</v>
      </c>
      <c r="E5" t="e">
        <f>AND(#REF!,"AAAAAHz73QQ=")</f>
        <v>#REF!</v>
      </c>
      <c r="F5" t="e">
        <f>AND(#REF!,"AAAAAHz73QU=")</f>
        <v>#REF!</v>
      </c>
      <c r="G5" t="e">
        <f>AND(#REF!,"AAAAAHz73QY=")</f>
        <v>#REF!</v>
      </c>
      <c r="H5" t="e">
        <f>AND(#REF!,"AAAAAHz73Qc=")</f>
        <v>#REF!</v>
      </c>
      <c r="I5" t="e">
        <f>AND(#REF!,"AAAAAHz73Qg=")</f>
        <v>#REF!</v>
      </c>
      <c r="J5" t="e">
        <f>AND(#REF!,"AAAAAHz73Qk=")</f>
        <v>#REF!</v>
      </c>
      <c r="K5" t="e">
        <f>AND(#REF!,"AAAAAHz73Qo=")</f>
        <v>#REF!</v>
      </c>
      <c r="L5" t="e">
        <f>AND(#REF!,"AAAAAHz73Qs=")</f>
        <v>#REF!</v>
      </c>
      <c r="M5" t="e">
        <f>AND(#REF!,"AAAAAHz73Qw=")</f>
        <v>#REF!</v>
      </c>
      <c r="N5" t="e">
        <f>AND(#REF!,"AAAAAHz73Q0=")</f>
        <v>#REF!</v>
      </c>
      <c r="O5" t="e">
        <f>AND(#REF!,"AAAAAHz73Q4=")</f>
        <v>#REF!</v>
      </c>
      <c r="P5" t="e">
        <f>AND(#REF!,"AAAAAHz73Q8=")</f>
        <v>#REF!</v>
      </c>
      <c r="Q5" t="e">
        <f>AND(#REF!,"AAAAAHz73RA=")</f>
        <v>#REF!</v>
      </c>
      <c r="R5" t="e">
        <f>AND(#REF!,"AAAAAHz73RE=")</f>
        <v>#REF!</v>
      </c>
      <c r="S5" t="e">
        <f>IF(#REF!,"AAAAAHz73RI=",0)</f>
        <v>#REF!</v>
      </c>
      <c r="T5" t="e">
        <f>AND(#REF!,"AAAAAHz73RM=")</f>
        <v>#REF!</v>
      </c>
      <c r="U5" t="e">
        <f>AND(#REF!,"AAAAAHz73RQ=")</f>
        <v>#REF!</v>
      </c>
      <c r="V5" t="e">
        <f>AND(#REF!,"AAAAAHz73RU=")</f>
        <v>#REF!</v>
      </c>
      <c r="W5" t="e">
        <f>AND(#REF!,"AAAAAHz73RY=")</f>
        <v>#REF!</v>
      </c>
      <c r="X5" t="e">
        <f>AND(#REF!,"AAAAAHz73Rc=")</f>
        <v>#REF!</v>
      </c>
      <c r="Y5" t="e">
        <f>AND(#REF!,"AAAAAHz73Rg=")</f>
        <v>#REF!</v>
      </c>
      <c r="Z5" t="e">
        <f>AND(#REF!,"AAAAAHz73Rk=")</f>
        <v>#REF!</v>
      </c>
      <c r="AA5" t="e">
        <f>AND(#REF!,"AAAAAHz73Ro=")</f>
        <v>#REF!</v>
      </c>
      <c r="AB5" t="e">
        <f>AND(#REF!,"AAAAAHz73Rs=")</f>
        <v>#REF!</v>
      </c>
      <c r="AC5" t="e">
        <f>AND(#REF!,"AAAAAHz73Rw=")</f>
        <v>#REF!</v>
      </c>
      <c r="AD5" t="e">
        <f>AND(#REF!,"AAAAAHz73R0=")</f>
        <v>#REF!</v>
      </c>
      <c r="AE5" t="e">
        <f>AND(#REF!,"AAAAAHz73R4=")</f>
        <v>#REF!</v>
      </c>
      <c r="AF5" t="e">
        <f>AND(#REF!,"AAAAAHz73R8=")</f>
        <v>#REF!</v>
      </c>
      <c r="AG5" t="e">
        <f>AND(#REF!,"AAAAAHz73SA=")</f>
        <v>#REF!</v>
      </c>
      <c r="AH5" t="e">
        <f>AND(#REF!,"AAAAAHz73SE=")</f>
        <v>#REF!</v>
      </c>
      <c r="AI5" t="e">
        <f>AND(#REF!,"AAAAAHz73SI=")</f>
        <v>#REF!</v>
      </c>
      <c r="AJ5" t="e">
        <f>AND(#REF!,"AAAAAHz73SM=")</f>
        <v>#REF!</v>
      </c>
      <c r="AK5" t="e">
        <f>AND(#REF!,"AAAAAHz73SQ=")</f>
        <v>#REF!</v>
      </c>
      <c r="AL5" t="e">
        <f>AND(#REF!,"AAAAAHz73SU=")</f>
        <v>#REF!</v>
      </c>
      <c r="AM5" t="e">
        <f>AND(#REF!,"AAAAAHz73SY=")</f>
        <v>#REF!</v>
      </c>
      <c r="AN5" t="e">
        <f>AND(#REF!,"AAAAAHz73Sc=")</f>
        <v>#REF!</v>
      </c>
      <c r="AO5" t="e">
        <f>AND(#REF!,"AAAAAHz73Sg=")</f>
        <v>#REF!</v>
      </c>
      <c r="AP5" t="e">
        <f>IF(#REF!,"AAAAAHz73Sk=",0)</f>
        <v>#REF!</v>
      </c>
      <c r="AQ5" t="e">
        <f>AND(#REF!,"AAAAAHz73So=")</f>
        <v>#REF!</v>
      </c>
      <c r="AR5" t="e">
        <f>AND(#REF!,"AAAAAHz73Ss=")</f>
        <v>#REF!</v>
      </c>
      <c r="AS5" t="e">
        <f>AND(#REF!,"AAAAAHz73Sw=")</f>
        <v>#REF!</v>
      </c>
      <c r="AT5" t="e">
        <f>AND(#REF!,"AAAAAHz73S0=")</f>
        <v>#REF!</v>
      </c>
      <c r="AU5" t="e">
        <f>AND(#REF!,"AAAAAHz73S4=")</f>
        <v>#REF!</v>
      </c>
      <c r="AV5" t="e">
        <f>AND(#REF!,"AAAAAHz73S8=")</f>
        <v>#REF!</v>
      </c>
      <c r="AW5" t="e">
        <f>AND(#REF!,"AAAAAHz73TA=")</f>
        <v>#REF!</v>
      </c>
      <c r="AX5" t="e">
        <f>AND(#REF!,"AAAAAHz73TE=")</f>
        <v>#REF!</v>
      </c>
      <c r="AY5" t="e">
        <f>AND(#REF!,"AAAAAHz73TI=")</f>
        <v>#REF!</v>
      </c>
      <c r="AZ5" t="e">
        <f>AND(#REF!,"AAAAAHz73TM=")</f>
        <v>#REF!</v>
      </c>
      <c r="BA5" t="e">
        <f>AND(#REF!,"AAAAAHz73TQ=")</f>
        <v>#REF!</v>
      </c>
      <c r="BB5" t="e">
        <f>AND(#REF!,"AAAAAHz73TU=")</f>
        <v>#REF!</v>
      </c>
      <c r="BC5" t="e">
        <f>AND(#REF!,"AAAAAHz73TY=")</f>
        <v>#REF!</v>
      </c>
      <c r="BD5" t="e">
        <f>AND(#REF!,"AAAAAHz73Tc=")</f>
        <v>#REF!</v>
      </c>
      <c r="BE5" t="e">
        <f>AND(#REF!,"AAAAAHz73Tg=")</f>
        <v>#REF!</v>
      </c>
      <c r="BF5" t="e">
        <f>AND(#REF!,"AAAAAHz73Tk=")</f>
        <v>#REF!</v>
      </c>
      <c r="BG5" t="e">
        <f>AND(#REF!,"AAAAAHz73To=")</f>
        <v>#REF!</v>
      </c>
      <c r="BH5" t="e">
        <f>AND(#REF!,"AAAAAHz73Ts=")</f>
        <v>#REF!</v>
      </c>
      <c r="BI5" t="e">
        <f>AND(#REF!,"AAAAAHz73Tw=")</f>
        <v>#REF!</v>
      </c>
      <c r="BJ5" t="e">
        <f>AND(#REF!,"AAAAAHz73T0=")</f>
        <v>#REF!</v>
      </c>
      <c r="BK5" t="e">
        <f>AND(#REF!,"AAAAAHz73T4=")</f>
        <v>#REF!</v>
      </c>
      <c r="BL5" t="e">
        <f>AND(#REF!,"AAAAAHz73T8=")</f>
        <v>#REF!</v>
      </c>
      <c r="BM5" t="e">
        <f>IF(#REF!,"AAAAAHz73UA=",0)</f>
        <v>#REF!</v>
      </c>
      <c r="BN5" t="e">
        <f>AND(#REF!,"AAAAAHz73UE=")</f>
        <v>#REF!</v>
      </c>
      <c r="BO5" t="e">
        <f>AND(#REF!,"AAAAAHz73UI=")</f>
        <v>#REF!</v>
      </c>
      <c r="BP5" t="e">
        <f>AND(#REF!,"AAAAAHz73UM=")</f>
        <v>#REF!</v>
      </c>
      <c r="BQ5" t="e">
        <f>AND(#REF!,"AAAAAHz73UQ=")</f>
        <v>#REF!</v>
      </c>
      <c r="BR5" t="e">
        <f>AND(#REF!,"AAAAAHz73UU=")</f>
        <v>#REF!</v>
      </c>
      <c r="BS5" t="e">
        <f>AND(#REF!,"AAAAAHz73UY=")</f>
        <v>#REF!</v>
      </c>
      <c r="BT5" t="e">
        <f>AND(#REF!,"AAAAAHz73Uc=")</f>
        <v>#REF!</v>
      </c>
      <c r="BU5" t="e">
        <f>AND(#REF!,"AAAAAHz73Ug=")</f>
        <v>#REF!</v>
      </c>
      <c r="BV5" t="e">
        <f>AND(#REF!,"AAAAAHz73Uk=")</f>
        <v>#REF!</v>
      </c>
      <c r="BW5" t="e">
        <f>AND(#REF!,"AAAAAHz73Uo=")</f>
        <v>#REF!</v>
      </c>
      <c r="BX5" t="e">
        <f>AND(#REF!,"AAAAAHz73Us=")</f>
        <v>#REF!</v>
      </c>
      <c r="BY5" t="e">
        <f>AND(#REF!,"AAAAAHz73Uw=")</f>
        <v>#REF!</v>
      </c>
      <c r="BZ5" t="e">
        <f>AND(#REF!,"AAAAAHz73U0=")</f>
        <v>#REF!</v>
      </c>
      <c r="CA5" t="e">
        <f>AND(#REF!,"AAAAAHz73U4=")</f>
        <v>#REF!</v>
      </c>
      <c r="CB5" t="e">
        <f>AND(#REF!,"AAAAAHz73U8=")</f>
        <v>#REF!</v>
      </c>
      <c r="CC5" t="e">
        <f>AND(#REF!,"AAAAAHz73VA=")</f>
        <v>#REF!</v>
      </c>
      <c r="CD5" t="e">
        <f>AND(#REF!,"AAAAAHz73VE=")</f>
        <v>#REF!</v>
      </c>
      <c r="CE5" t="e">
        <f>AND(#REF!,"AAAAAHz73VI=")</f>
        <v>#REF!</v>
      </c>
      <c r="CF5" t="e">
        <f>AND(#REF!,"AAAAAHz73VM=")</f>
        <v>#REF!</v>
      </c>
      <c r="CG5" t="e">
        <f>AND(#REF!,"AAAAAHz73VQ=")</f>
        <v>#REF!</v>
      </c>
      <c r="CH5" t="e">
        <f>AND(#REF!,"AAAAAHz73VU=")</f>
        <v>#REF!</v>
      </c>
      <c r="CI5" t="e">
        <f>AND(#REF!,"AAAAAHz73VY=")</f>
        <v>#REF!</v>
      </c>
      <c r="CJ5" t="e">
        <f>IF(#REF!,"AAAAAHz73Vc=",0)</f>
        <v>#REF!</v>
      </c>
      <c r="CK5" t="e">
        <f>AND(#REF!,"AAAAAHz73Vg=")</f>
        <v>#REF!</v>
      </c>
      <c r="CL5" t="e">
        <f>AND(#REF!,"AAAAAHz73Vk=")</f>
        <v>#REF!</v>
      </c>
      <c r="CM5" t="e">
        <f>AND(#REF!,"AAAAAHz73Vo=")</f>
        <v>#REF!</v>
      </c>
      <c r="CN5" t="e">
        <f>AND(#REF!,"AAAAAHz73Vs=")</f>
        <v>#REF!</v>
      </c>
      <c r="CO5" t="e">
        <f>AND(#REF!,"AAAAAHz73Vw=")</f>
        <v>#REF!</v>
      </c>
      <c r="CP5" t="e">
        <f>AND(#REF!,"AAAAAHz73V0=")</f>
        <v>#REF!</v>
      </c>
      <c r="CQ5" t="e">
        <f>AND(#REF!,"AAAAAHz73V4=")</f>
        <v>#REF!</v>
      </c>
      <c r="CR5" t="e">
        <f>AND(#REF!,"AAAAAHz73V8=")</f>
        <v>#REF!</v>
      </c>
      <c r="CS5" t="e">
        <f>AND(#REF!,"AAAAAHz73WA=")</f>
        <v>#REF!</v>
      </c>
      <c r="CT5" t="e">
        <f>AND(#REF!,"AAAAAHz73WE=")</f>
        <v>#REF!</v>
      </c>
      <c r="CU5" t="e">
        <f>AND(#REF!,"AAAAAHz73WI=")</f>
        <v>#REF!</v>
      </c>
      <c r="CV5" t="e">
        <f>AND(#REF!,"AAAAAHz73WM=")</f>
        <v>#REF!</v>
      </c>
      <c r="CW5" t="e">
        <f>AND(#REF!,"AAAAAHz73WQ=")</f>
        <v>#REF!</v>
      </c>
      <c r="CX5" t="e">
        <f>AND(#REF!,"AAAAAHz73WU=")</f>
        <v>#REF!</v>
      </c>
      <c r="CY5" t="e">
        <f>AND(#REF!,"AAAAAHz73WY=")</f>
        <v>#REF!</v>
      </c>
      <c r="CZ5" t="e">
        <f>AND(#REF!,"AAAAAHz73Wc=")</f>
        <v>#REF!</v>
      </c>
      <c r="DA5" t="e">
        <f>AND(#REF!,"AAAAAHz73Wg=")</f>
        <v>#REF!</v>
      </c>
      <c r="DB5" t="e">
        <f>AND(#REF!,"AAAAAHz73Wk=")</f>
        <v>#REF!</v>
      </c>
      <c r="DC5" t="e">
        <f>AND(#REF!,"AAAAAHz73Wo=")</f>
        <v>#REF!</v>
      </c>
      <c r="DD5" t="e">
        <f>AND(#REF!,"AAAAAHz73Ws=")</f>
        <v>#REF!</v>
      </c>
      <c r="DE5" t="e">
        <f>AND(#REF!,"AAAAAHz73Ww=")</f>
        <v>#REF!</v>
      </c>
      <c r="DF5" t="e">
        <f>AND(#REF!,"AAAAAHz73W0=")</f>
        <v>#REF!</v>
      </c>
      <c r="DG5" t="e">
        <f>IF(#REF!,"AAAAAHz73W4=",0)</f>
        <v>#REF!</v>
      </c>
      <c r="DH5" t="e">
        <f>AND(#REF!,"AAAAAHz73W8=")</f>
        <v>#REF!</v>
      </c>
      <c r="DI5" t="e">
        <f>AND(#REF!,"AAAAAHz73XA=")</f>
        <v>#REF!</v>
      </c>
      <c r="DJ5" t="e">
        <f>AND(#REF!,"AAAAAHz73XE=")</f>
        <v>#REF!</v>
      </c>
      <c r="DK5" t="e">
        <f>AND(#REF!,"AAAAAHz73XI=")</f>
        <v>#REF!</v>
      </c>
      <c r="DL5" t="e">
        <f>AND(#REF!,"AAAAAHz73XM=")</f>
        <v>#REF!</v>
      </c>
      <c r="DM5" t="e">
        <f>AND(#REF!,"AAAAAHz73XQ=")</f>
        <v>#REF!</v>
      </c>
      <c r="DN5" t="e">
        <f>AND(#REF!,"AAAAAHz73XU=")</f>
        <v>#REF!</v>
      </c>
      <c r="DO5" t="e">
        <f>AND(#REF!,"AAAAAHz73XY=")</f>
        <v>#REF!</v>
      </c>
      <c r="DP5" t="e">
        <f>AND(#REF!,"AAAAAHz73Xc=")</f>
        <v>#REF!</v>
      </c>
      <c r="DQ5" t="e">
        <f>AND(#REF!,"AAAAAHz73Xg=")</f>
        <v>#REF!</v>
      </c>
      <c r="DR5" t="e">
        <f>AND(#REF!,"AAAAAHz73Xk=")</f>
        <v>#REF!</v>
      </c>
      <c r="DS5" t="e">
        <f>AND(#REF!,"AAAAAHz73Xo=")</f>
        <v>#REF!</v>
      </c>
      <c r="DT5" t="e">
        <f>AND(#REF!,"AAAAAHz73Xs=")</f>
        <v>#REF!</v>
      </c>
      <c r="DU5" t="e">
        <f>AND(#REF!,"AAAAAHz73Xw=")</f>
        <v>#REF!</v>
      </c>
      <c r="DV5" t="e">
        <f>AND(#REF!,"AAAAAHz73X0=")</f>
        <v>#REF!</v>
      </c>
      <c r="DW5" t="e">
        <f>AND(#REF!,"AAAAAHz73X4=")</f>
        <v>#REF!</v>
      </c>
      <c r="DX5" t="e">
        <f>AND(#REF!,"AAAAAHz73X8=")</f>
        <v>#REF!</v>
      </c>
      <c r="DY5" t="e">
        <f>AND(#REF!,"AAAAAHz73YA=")</f>
        <v>#REF!</v>
      </c>
      <c r="DZ5" t="e">
        <f>AND(#REF!,"AAAAAHz73YE=")</f>
        <v>#REF!</v>
      </c>
      <c r="EA5" t="e">
        <f>AND(#REF!,"AAAAAHz73YI=")</f>
        <v>#REF!</v>
      </c>
      <c r="EB5" t="e">
        <f>AND(#REF!,"AAAAAHz73YM=")</f>
        <v>#REF!</v>
      </c>
      <c r="EC5" t="e">
        <f>AND(#REF!,"AAAAAHz73YQ=")</f>
        <v>#REF!</v>
      </c>
      <c r="ED5" t="e">
        <f>IF(#REF!,"AAAAAHz73YU=",0)</f>
        <v>#REF!</v>
      </c>
      <c r="EE5" t="e">
        <f>AND(#REF!,"AAAAAHz73YY=")</f>
        <v>#REF!</v>
      </c>
      <c r="EF5" t="e">
        <f>AND(#REF!,"AAAAAHz73Yc=")</f>
        <v>#REF!</v>
      </c>
      <c r="EG5" t="e">
        <f>AND(#REF!,"AAAAAHz73Yg=")</f>
        <v>#REF!</v>
      </c>
      <c r="EH5" t="e">
        <f>AND(#REF!,"AAAAAHz73Yk=")</f>
        <v>#REF!</v>
      </c>
      <c r="EI5" t="e">
        <f>AND(#REF!,"AAAAAHz73Yo=")</f>
        <v>#REF!</v>
      </c>
      <c r="EJ5" t="e">
        <f>AND(#REF!,"AAAAAHz73Ys=")</f>
        <v>#REF!</v>
      </c>
      <c r="EK5" t="e">
        <f>AND(#REF!,"AAAAAHz73Yw=")</f>
        <v>#REF!</v>
      </c>
      <c r="EL5" t="e">
        <f>AND(#REF!,"AAAAAHz73Y0=")</f>
        <v>#REF!</v>
      </c>
      <c r="EM5" t="e">
        <f>AND(#REF!,"AAAAAHz73Y4=")</f>
        <v>#REF!</v>
      </c>
      <c r="EN5" t="e">
        <f>AND(#REF!,"AAAAAHz73Y8=")</f>
        <v>#REF!</v>
      </c>
      <c r="EO5" t="e">
        <f>AND(#REF!,"AAAAAHz73ZA=")</f>
        <v>#REF!</v>
      </c>
      <c r="EP5" t="e">
        <f>AND(#REF!,"AAAAAHz73ZE=")</f>
        <v>#REF!</v>
      </c>
      <c r="EQ5" t="e">
        <f>AND(#REF!,"AAAAAHz73ZI=")</f>
        <v>#REF!</v>
      </c>
      <c r="ER5" t="e">
        <f>AND(#REF!,"AAAAAHz73ZM=")</f>
        <v>#REF!</v>
      </c>
      <c r="ES5" t="e">
        <f>AND(#REF!,"AAAAAHz73ZQ=")</f>
        <v>#REF!</v>
      </c>
      <c r="ET5" t="e">
        <f>AND(#REF!,"AAAAAHz73ZU=")</f>
        <v>#REF!</v>
      </c>
      <c r="EU5" t="e">
        <f>AND(#REF!,"AAAAAHz73ZY=")</f>
        <v>#REF!</v>
      </c>
      <c r="EV5" t="e">
        <f>AND(#REF!,"AAAAAHz73Zc=")</f>
        <v>#REF!</v>
      </c>
      <c r="EW5" t="e">
        <f>AND(#REF!,"AAAAAHz73Zg=")</f>
        <v>#REF!</v>
      </c>
      <c r="EX5" t="e">
        <f>AND(#REF!,"AAAAAHz73Zk=")</f>
        <v>#REF!</v>
      </c>
      <c r="EY5" t="e">
        <f>AND(#REF!,"AAAAAHz73Zo=")</f>
        <v>#REF!</v>
      </c>
      <c r="EZ5" t="e">
        <f>AND(#REF!,"AAAAAHz73Zs=")</f>
        <v>#REF!</v>
      </c>
      <c r="FA5" t="e">
        <f>IF(#REF!,"AAAAAHz73Zw=",0)</f>
        <v>#REF!</v>
      </c>
      <c r="FB5" t="e">
        <f>AND(#REF!,"AAAAAHz73Z0=")</f>
        <v>#REF!</v>
      </c>
      <c r="FC5" t="e">
        <f>AND(#REF!,"AAAAAHz73Z4=")</f>
        <v>#REF!</v>
      </c>
      <c r="FD5" t="e">
        <f>AND(#REF!,"AAAAAHz73Z8=")</f>
        <v>#REF!</v>
      </c>
      <c r="FE5" t="e">
        <f>AND(#REF!,"AAAAAHz73aA=")</f>
        <v>#REF!</v>
      </c>
      <c r="FF5" t="e">
        <f>AND(#REF!,"AAAAAHz73aE=")</f>
        <v>#REF!</v>
      </c>
      <c r="FG5" t="e">
        <f>AND(#REF!,"AAAAAHz73aI=")</f>
        <v>#REF!</v>
      </c>
      <c r="FH5" t="e">
        <f>AND(#REF!,"AAAAAHz73aM=")</f>
        <v>#REF!</v>
      </c>
      <c r="FI5" t="e">
        <f>AND(#REF!,"AAAAAHz73aQ=")</f>
        <v>#REF!</v>
      </c>
      <c r="FJ5" t="e">
        <f>AND(#REF!,"AAAAAHz73aU=")</f>
        <v>#REF!</v>
      </c>
      <c r="FK5" t="e">
        <f>AND(#REF!,"AAAAAHz73aY=")</f>
        <v>#REF!</v>
      </c>
      <c r="FL5" t="e">
        <f>AND(#REF!,"AAAAAHz73ac=")</f>
        <v>#REF!</v>
      </c>
      <c r="FM5" t="e">
        <f>AND(#REF!,"AAAAAHz73ag=")</f>
        <v>#REF!</v>
      </c>
      <c r="FN5" t="e">
        <f>AND(#REF!,"AAAAAHz73ak=")</f>
        <v>#REF!</v>
      </c>
      <c r="FO5" t="e">
        <f>AND(#REF!,"AAAAAHz73ao=")</f>
        <v>#REF!</v>
      </c>
      <c r="FP5" t="e">
        <f>AND(#REF!,"AAAAAHz73as=")</f>
        <v>#REF!</v>
      </c>
      <c r="FQ5" t="e">
        <f>AND(#REF!,"AAAAAHz73aw=")</f>
        <v>#REF!</v>
      </c>
      <c r="FR5" t="e">
        <f>AND(#REF!,"AAAAAHz73a0=")</f>
        <v>#REF!</v>
      </c>
      <c r="FS5" t="e">
        <f>AND(#REF!,"AAAAAHz73a4=")</f>
        <v>#REF!</v>
      </c>
      <c r="FT5" t="e">
        <f>AND(#REF!,"AAAAAHz73a8=")</f>
        <v>#REF!</v>
      </c>
      <c r="FU5" t="e">
        <f>AND(#REF!,"AAAAAHz73bA=")</f>
        <v>#REF!</v>
      </c>
      <c r="FV5" t="e">
        <f>AND(#REF!,"AAAAAHz73bE=")</f>
        <v>#REF!</v>
      </c>
      <c r="FW5" t="e">
        <f>AND(#REF!,"AAAAAHz73bI=")</f>
        <v>#REF!</v>
      </c>
      <c r="FX5" t="e">
        <f>IF(#REF!,"AAAAAHz73bM=",0)</f>
        <v>#REF!</v>
      </c>
      <c r="FY5" t="e">
        <f>AND(#REF!,"AAAAAHz73bQ=")</f>
        <v>#REF!</v>
      </c>
      <c r="FZ5" t="e">
        <f>AND(#REF!,"AAAAAHz73bU=")</f>
        <v>#REF!</v>
      </c>
      <c r="GA5" t="e">
        <f>AND(#REF!,"AAAAAHz73bY=")</f>
        <v>#REF!</v>
      </c>
      <c r="GB5" t="e">
        <f>AND(#REF!,"AAAAAHz73bc=")</f>
        <v>#REF!</v>
      </c>
      <c r="GC5" t="e">
        <f>AND(#REF!,"AAAAAHz73bg=")</f>
        <v>#REF!</v>
      </c>
      <c r="GD5" t="e">
        <f>AND(#REF!,"AAAAAHz73bk=")</f>
        <v>#REF!</v>
      </c>
      <c r="GE5" t="e">
        <f>AND(#REF!,"AAAAAHz73bo=")</f>
        <v>#REF!</v>
      </c>
      <c r="GF5" t="e">
        <f>AND(#REF!,"AAAAAHz73bs=")</f>
        <v>#REF!</v>
      </c>
      <c r="GG5" t="e">
        <f>AND(#REF!,"AAAAAHz73bw=")</f>
        <v>#REF!</v>
      </c>
      <c r="GH5" t="e">
        <f>AND(#REF!,"AAAAAHz73b0=")</f>
        <v>#REF!</v>
      </c>
      <c r="GI5" t="e">
        <f>AND(#REF!,"AAAAAHz73b4=")</f>
        <v>#REF!</v>
      </c>
      <c r="GJ5" t="e">
        <f>AND(#REF!,"AAAAAHz73b8=")</f>
        <v>#REF!</v>
      </c>
      <c r="GK5" t="e">
        <f>AND(#REF!,"AAAAAHz73cA=")</f>
        <v>#REF!</v>
      </c>
      <c r="GL5" t="e">
        <f>AND(#REF!,"AAAAAHz73cE=")</f>
        <v>#REF!</v>
      </c>
      <c r="GM5" t="e">
        <f>AND(#REF!,"AAAAAHz73cI=")</f>
        <v>#REF!</v>
      </c>
      <c r="GN5" t="e">
        <f>AND(#REF!,"AAAAAHz73cM=")</f>
        <v>#REF!</v>
      </c>
      <c r="GO5" t="e">
        <f>AND(#REF!,"AAAAAHz73cQ=")</f>
        <v>#REF!</v>
      </c>
      <c r="GP5" t="e">
        <f>AND(#REF!,"AAAAAHz73cU=")</f>
        <v>#REF!</v>
      </c>
      <c r="GQ5" t="e">
        <f>AND(#REF!,"AAAAAHz73cY=")</f>
        <v>#REF!</v>
      </c>
      <c r="GR5" t="e">
        <f>AND(#REF!,"AAAAAHz73cc=")</f>
        <v>#REF!</v>
      </c>
      <c r="GS5" t="e">
        <f>AND(#REF!,"AAAAAHz73cg=")</f>
        <v>#REF!</v>
      </c>
      <c r="GT5" t="e">
        <f>AND(#REF!,"AAAAAHz73ck=")</f>
        <v>#REF!</v>
      </c>
      <c r="GU5" t="e">
        <f>IF(#REF!,"AAAAAHz73co=",0)</f>
        <v>#REF!</v>
      </c>
      <c r="GV5" t="e">
        <f>AND(#REF!,"AAAAAHz73cs=")</f>
        <v>#REF!</v>
      </c>
      <c r="GW5" t="e">
        <f>AND(#REF!,"AAAAAHz73cw=")</f>
        <v>#REF!</v>
      </c>
      <c r="GX5" t="e">
        <f>AND(#REF!,"AAAAAHz73c0=")</f>
        <v>#REF!</v>
      </c>
      <c r="GY5" t="e">
        <f>AND(#REF!,"AAAAAHz73c4=")</f>
        <v>#REF!</v>
      </c>
      <c r="GZ5" t="e">
        <f>AND(#REF!,"AAAAAHz73c8=")</f>
        <v>#REF!</v>
      </c>
      <c r="HA5" t="e">
        <f>AND(#REF!,"AAAAAHz73dA=")</f>
        <v>#REF!</v>
      </c>
      <c r="HB5" t="e">
        <f>AND(#REF!,"AAAAAHz73dE=")</f>
        <v>#REF!</v>
      </c>
      <c r="HC5" t="e">
        <f>AND(#REF!,"AAAAAHz73dI=")</f>
        <v>#REF!</v>
      </c>
      <c r="HD5" t="e">
        <f>AND(#REF!,"AAAAAHz73dM=")</f>
        <v>#REF!</v>
      </c>
      <c r="HE5" t="e">
        <f>AND(#REF!,"AAAAAHz73dQ=")</f>
        <v>#REF!</v>
      </c>
      <c r="HF5" t="e">
        <f>AND(#REF!,"AAAAAHz73dU=")</f>
        <v>#REF!</v>
      </c>
      <c r="HG5" t="e">
        <f>AND(#REF!,"AAAAAHz73dY=")</f>
        <v>#REF!</v>
      </c>
      <c r="HH5" t="e">
        <f>AND(#REF!,"AAAAAHz73dc=")</f>
        <v>#REF!</v>
      </c>
      <c r="HI5" t="e">
        <f>AND(#REF!,"AAAAAHz73dg=")</f>
        <v>#REF!</v>
      </c>
      <c r="HJ5" t="e">
        <f>AND(#REF!,"AAAAAHz73dk=")</f>
        <v>#REF!</v>
      </c>
      <c r="HK5" t="e">
        <f>AND(#REF!,"AAAAAHz73do=")</f>
        <v>#REF!</v>
      </c>
      <c r="HL5" t="e">
        <f>AND(#REF!,"AAAAAHz73ds=")</f>
        <v>#REF!</v>
      </c>
      <c r="HM5" t="e">
        <f>AND(#REF!,"AAAAAHz73dw=")</f>
        <v>#REF!</v>
      </c>
      <c r="HN5" t="e">
        <f>AND(#REF!,"AAAAAHz73d0=")</f>
        <v>#REF!</v>
      </c>
      <c r="HO5" t="e">
        <f>AND(#REF!,"AAAAAHz73d4=")</f>
        <v>#REF!</v>
      </c>
      <c r="HP5" t="e">
        <f>AND(#REF!,"AAAAAHz73d8=")</f>
        <v>#REF!</v>
      </c>
      <c r="HQ5" t="e">
        <f>AND(#REF!,"AAAAAHz73eA=")</f>
        <v>#REF!</v>
      </c>
      <c r="HR5" t="e">
        <f>IF(#REF!,"AAAAAHz73eE=",0)</f>
        <v>#REF!</v>
      </c>
      <c r="HS5" t="e">
        <f>AND(#REF!,"AAAAAHz73eI=")</f>
        <v>#REF!</v>
      </c>
      <c r="HT5" t="e">
        <f>AND(#REF!,"AAAAAHz73eM=")</f>
        <v>#REF!</v>
      </c>
      <c r="HU5" t="e">
        <f>AND(#REF!,"AAAAAHz73eQ=")</f>
        <v>#REF!</v>
      </c>
      <c r="HV5" t="e">
        <f>AND(#REF!,"AAAAAHz73eU=")</f>
        <v>#REF!</v>
      </c>
      <c r="HW5" t="e">
        <f>AND(#REF!,"AAAAAHz73eY=")</f>
        <v>#REF!</v>
      </c>
      <c r="HX5" t="e">
        <f>AND(#REF!,"AAAAAHz73ec=")</f>
        <v>#REF!</v>
      </c>
      <c r="HY5" t="e">
        <f>AND(#REF!,"AAAAAHz73eg=")</f>
        <v>#REF!</v>
      </c>
      <c r="HZ5" t="e">
        <f>AND(#REF!,"AAAAAHz73ek=")</f>
        <v>#REF!</v>
      </c>
      <c r="IA5" t="e">
        <f>AND(#REF!,"AAAAAHz73eo=")</f>
        <v>#REF!</v>
      </c>
      <c r="IB5" t="e">
        <f>AND(#REF!,"AAAAAHz73es=")</f>
        <v>#REF!</v>
      </c>
      <c r="IC5" t="e">
        <f>AND(#REF!,"AAAAAHz73ew=")</f>
        <v>#REF!</v>
      </c>
      <c r="ID5" t="e">
        <f>AND(#REF!,"AAAAAHz73e0=")</f>
        <v>#REF!</v>
      </c>
      <c r="IE5" t="e">
        <f>AND(#REF!,"AAAAAHz73e4=")</f>
        <v>#REF!</v>
      </c>
      <c r="IF5" t="e">
        <f>AND(#REF!,"AAAAAHz73e8=")</f>
        <v>#REF!</v>
      </c>
      <c r="IG5" t="e">
        <f>AND(#REF!,"AAAAAHz73fA=")</f>
        <v>#REF!</v>
      </c>
      <c r="IH5" t="e">
        <f>AND(#REF!,"AAAAAHz73fE=")</f>
        <v>#REF!</v>
      </c>
      <c r="II5" t="e">
        <f>AND(#REF!,"AAAAAHz73fI=")</f>
        <v>#REF!</v>
      </c>
      <c r="IJ5" t="e">
        <f>AND(#REF!,"AAAAAHz73fM=")</f>
        <v>#REF!</v>
      </c>
      <c r="IK5" t="e">
        <f>AND(#REF!,"AAAAAHz73fQ=")</f>
        <v>#REF!</v>
      </c>
      <c r="IL5" t="e">
        <f>AND(#REF!,"AAAAAHz73fU=")</f>
        <v>#REF!</v>
      </c>
      <c r="IM5" t="e">
        <f>AND(#REF!,"AAAAAHz73fY=")</f>
        <v>#REF!</v>
      </c>
      <c r="IN5" t="e">
        <f>AND(#REF!,"AAAAAHz73fc=")</f>
        <v>#REF!</v>
      </c>
      <c r="IO5" t="e">
        <f>IF(#REF!,"AAAAAHz73fg=",0)</f>
        <v>#REF!</v>
      </c>
      <c r="IP5" t="e">
        <f>AND(#REF!,"AAAAAHz73fk=")</f>
        <v>#REF!</v>
      </c>
      <c r="IQ5" t="e">
        <f>AND(#REF!,"AAAAAHz73fo=")</f>
        <v>#REF!</v>
      </c>
      <c r="IR5" t="e">
        <f>AND(#REF!,"AAAAAHz73fs=")</f>
        <v>#REF!</v>
      </c>
      <c r="IS5" t="e">
        <f>AND(#REF!,"AAAAAHz73fw=")</f>
        <v>#REF!</v>
      </c>
      <c r="IT5" t="e">
        <f>AND(#REF!,"AAAAAHz73f0=")</f>
        <v>#REF!</v>
      </c>
      <c r="IU5" t="e">
        <f>AND(#REF!,"AAAAAHz73f4=")</f>
        <v>#REF!</v>
      </c>
      <c r="IV5" t="e">
        <f>AND(#REF!,"AAAAAHz73f8=")</f>
        <v>#REF!</v>
      </c>
    </row>
    <row r="6" spans="1:256" ht="15">
      <c r="A6" t="e">
        <f>AND(#REF!,"AAAAAGfe0gA=")</f>
        <v>#REF!</v>
      </c>
      <c r="B6" t="e">
        <f>AND(#REF!,"AAAAAGfe0gE=")</f>
        <v>#REF!</v>
      </c>
      <c r="C6" t="e">
        <f>AND(#REF!,"AAAAAGfe0gI=")</f>
        <v>#REF!</v>
      </c>
      <c r="D6" t="e">
        <f>AND(#REF!,"AAAAAGfe0gM=")</f>
        <v>#REF!</v>
      </c>
      <c r="E6" t="e">
        <f>AND(#REF!,"AAAAAGfe0gQ=")</f>
        <v>#REF!</v>
      </c>
      <c r="F6" t="e">
        <f>AND(#REF!,"AAAAAGfe0gU=")</f>
        <v>#REF!</v>
      </c>
      <c r="G6" t="e">
        <f>AND(#REF!,"AAAAAGfe0gY=")</f>
        <v>#REF!</v>
      </c>
      <c r="H6" t="e">
        <f>AND(#REF!,"AAAAAGfe0gc=")</f>
        <v>#REF!</v>
      </c>
      <c r="I6" t="e">
        <f>AND(#REF!,"AAAAAGfe0gg=")</f>
        <v>#REF!</v>
      </c>
      <c r="J6" t="e">
        <f>AND(#REF!,"AAAAAGfe0gk=")</f>
        <v>#REF!</v>
      </c>
      <c r="K6" t="e">
        <f>AND(#REF!,"AAAAAGfe0go=")</f>
        <v>#REF!</v>
      </c>
      <c r="L6" t="e">
        <f>AND(#REF!,"AAAAAGfe0gs=")</f>
        <v>#REF!</v>
      </c>
      <c r="M6" t="e">
        <f>AND(#REF!,"AAAAAGfe0gw=")</f>
        <v>#REF!</v>
      </c>
      <c r="N6" t="e">
        <f>AND(#REF!,"AAAAAGfe0g0=")</f>
        <v>#REF!</v>
      </c>
      <c r="O6" t="e">
        <f>AND(#REF!,"AAAAAGfe0g4=")</f>
        <v>#REF!</v>
      </c>
      <c r="P6" t="e">
        <f>IF(#REF!,"AAAAAGfe0g8=",0)</f>
        <v>#REF!</v>
      </c>
      <c r="Q6" t="e">
        <f>AND(#REF!,"AAAAAGfe0hA=")</f>
        <v>#REF!</v>
      </c>
      <c r="R6" t="e">
        <f>AND(#REF!,"AAAAAGfe0hE=")</f>
        <v>#REF!</v>
      </c>
      <c r="S6" t="e">
        <f>AND(#REF!,"AAAAAGfe0hI=")</f>
        <v>#REF!</v>
      </c>
      <c r="T6" t="e">
        <f>AND(#REF!,"AAAAAGfe0hM=")</f>
        <v>#REF!</v>
      </c>
      <c r="U6" t="e">
        <f>AND(#REF!,"AAAAAGfe0hQ=")</f>
        <v>#REF!</v>
      </c>
      <c r="V6" t="e">
        <f>AND(#REF!,"AAAAAGfe0hU=")</f>
        <v>#REF!</v>
      </c>
      <c r="W6" t="e">
        <f>AND(#REF!,"AAAAAGfe0hY=")</f>
        <v>#REF!</v>
      </c>
      <c r="X6" t="e">
        <f>AND(#REF!,"AAAAAGfe0hc=")</f>
        <v>#REF!</v>
      </c>
      <c r="Y6" t="e">
        <f>AND(#REF!,"AAAAAGfe0hg=")</f>
        <v>#REF!</v>
      </c>
      <c r="Z6" t="e">
        <f>AND(#REF!,"AAAAAGfe0hk=")</f>
        <v>#REF!</v>
      </c>
      <c r="AA6" t="e">
        <f>AND(#REF!,"AAAAAGfe0ho=")</f>
        <v>#REF!</v>
      </c>
      <c r="AB6" t="e">
        <f>AND(#REF!,"AAAAAGfe0hs=")</f>
        <v>#REF!</v>
      </c>
      <c r="AC6" t="e">
        <f>AND(#REF!,"AAAAAGfe0hw=")</f>
        <v>#REF!</v>
      </c>
      <c r="AD6" t="e">
        <f>AND(#REF!,"AAAAAGfe0h0=")</f>
        <v>#REF!</v>
      </c>
      <c r="AE6" t="e">
        <f>AND(#REF!,"AAAAAGfe0h4=")</f>
        <v>#REF!</v>
      </c>
      <c r="AF6" t="e">
        <f>AND(#REF!,"AAAAAGfe0h8=")</f>
        <v>#REF!</v>
      </c>
      <c r="AG6" t="e">
        <f>AND(#REF!,"AAAAAGfe0iA=")</f>
        <v>#REF!</v>
      </c>
      <c r="AH6" t="e">
        <f>AND(#REF!,"AAAAAGfe0iE=")</f>
        <v>#REF!</v>
      </c>
      <c r="AI6" t="e">
        <f>AND(#REF!,"AAAAAGfe0iI=")</f>
        <v>#REF!</v>
      </c>
      <c r="AJ6" t="e">
        <f>AND(#REF!,"AAAAAGfe0iM=")</f>
        <v>#REF!</v>
      </c>
      <c r="AK6" t="e">
        <f>AND(#REF!,"AAAAAGfe0iQ=")</f>
        <v>#REF!</v>
      </c>
      <c r="AL6" t="e">
        <f>AND(#REF!,"AAAAAGfe0iU=")</f>
        <v>#REF!</v>
      </c>
      <c r="AM6" t="e">
        <f>IF(#REF!,"AAAAAGfe0iY=",0)</f>
        <v>#REF!</v>
      </c>
      <c r="AN6" t="e">
        <f>AND(#REF!,"AAAAAGfe0ic=")</f>
        <v>#REF!</v>
      </c>
      <c r="AO6" t="e">
        <f>AND(#REF!,"AAAAAGfe0ig=")</f>
        <v>#REF!</v>
      </c>
      <c r="AP6" t="e">
        <f>AND(#REF!,"AAAAAGfe0ik=")</f>
        <v>#REF!</v>
      </c>
      <c r="AQ6" t="e">
        <f>AND(#REF!,"AAAAAGfe0io=")</f>
        <v>#REF!</v>
      </c>
      <c r="AR6" t="e">
        <f>AND(#REF!,"AAAAAGfe0is=")</f>
        <v>#REF!</v>
      </c>
      <c r="AS6" t="e">
        <f>AND(#REF!,"AAAAAGfe0iw=")</f>
        <v>#REF!</v>
      </c>
      <c r="AT6" t="e">
        <f>AND(#REF!,"AAAAAGfe0i0=")</f>
        <v>#REF!</v>
      </c>
      <c r="AU6" t="e">
        <f>AND(#REF!,"AAAAAGfe0i4=")</f>
        <v>#REF!</v>
      </c>
      <c r="AV6" t="e">
        <f>AND(#REF!,"AAAAAGfe0i8=")</f>
        <v>#REF!</v>
      </c>
      <c r="AW6" t="e">
        <f>AND(#REF!,"AAAAAGfe0jA=")</f>
        <v>#REF!</v>
      </c>
      <c r="AX6" t="e">
        <f>AND(#REF!,"AAAAAGfe0jE=")</f>
        <v>#REF!</v>
      </c>
      <c r="AY6" t="e">
        <f>AND(#REF!,"AAAAAGfe0jI=")</f>
        <v>#REF!</v>
      </c>
      <c r="AZ6" t="e">
        <f>AND(#REF!,"AAAAAGfe0jM=")</f>
        <v>#REF!</v>
      </c>
      <c r="BA6" t="e">
        <f>AND(#REF!,"AAAAAGfe0jQ=")</f>
        <v>#REF!</v>
      </c>
      <c r="BB6" t="e">
        <f>AND(#REF!,"AAAAAGfe0jU=")</f>
        <v>#REF!</v>
      </c>
      <c r="BC6" t="e">
        <f>AND(#REF!,"AAAAAGfe0jY=")</f>
        <v>#REF!</v>
      </c>
      <c r="BD6" t="e">
        <f>AND(#REF!,"AAAAAGfe0jc=")</f>
        <v>#REF!</v>
      </c>
      <c r="BE6" t="e">
        <f>AND(#REF!,"AAAAAGfe0jg=")</f>
        <v>#REF!</v>
      </c>
      <c r="BF6" t="e">
        <f>AND(#REF!,"AAAAAGfe0jk=")</f>
        <v>#REF!</v>
      </c>
      <c r="BG6" t="e">
        <f>AND(#REF!,"AAAAAGfe0jo=")</f>
        <v>#REF!</v>
      </c>
      <c r="BH6" t="e">
        <f>AND(#REF!,"AAAAAGfe0js=")</f>
        <v>#REF!</v>
      </c>
      <c r="BI6" t="e">
        <f>AND(#REF!,"AAAAAGfe0jw=")</f>
        <v>#REF!</v>
      </c>
      <c r="BJ6" t="e">
        <f>IF(#REF!,"AAAAAGfe0j0=",0)</f>
        <v>#REF!</v>
      </c>
      <c r="BK6" t="e">
        <f>AND(#REF!,"AAAAAGfe0j4=")</f>
        <v>#REF!</v>
      </c>
      <c r="BL6" t="e">
        <f>AND(#REF!,"AAAAAGfe0j8=")</f>
        <v>#REF!</v>
      </c>
      <c r="BM6" t="e">
        <f>AND(#REF!,"AAAAAGfe0kA=")</f>
        <v>#REF!</v>
      </c>
      <c r="BN6" t="e">
        <f>AND(#REF!,"AAAAAGfe0kE=")</f>
        <v>#REF!</v>
      </c>
      <c r="BO6" t="e">
        <f>AND(#REF!,"AAAAAGfe0kI=")</f>
        <v>#REF!</v>
      </c>
      <c r="BP6" t="e">
        <f>AND(#REF!,"AAAAAGfe0kM=")</f>
        <v>#REF!</v>
      </c>
      <c r="BQ6" t="e">
        <f>AND(#REF!,"AAAAAGfe0kQ=")</f>
        <v>#REF!</v>
      </c>
      <c r="BR6" t="e">
        <f>AND(#REF!,"AAAAAGfe0kU=")</f>
        <v>#REF!</v>
      </c>
      <c r="BS6" t="e">
        <f>AND(#REF!,"AAAAAGfe0kY=")</f>
        <v>#REF!</v>
      </c>
      <c r="BT6" t="e">
        <f>AND(#REF!,"AAAAAGfe0kc=")</f>
        <v>#REF!</v>
      </c>
      <c r="BU6" t="e">
        <f>AND(#REF!,"AAAAAGfe0kg=")</f>
        <v>#REF!</v>
      </c>
      <c r="BV6" t="e">
        <f>AND(#REF!,"AAAAAGfe0kk=")</f>
        <v>#REF!</v>
      </c>
      <c r="BW6" t="e">
        <f>AND(#REF!,"AAAAAGfe0ko=")</f>
        <v>#REF!</v>
      </c>
      <c r="BX6" t="e">
        <f>AND(#REF!,"AAAAAGfe0ks=")</f>
        <v>#REF!</v>
      </c>
      <c r="BY6" t="e">
        <f>AND(#REF!,"AAAAAGfe0kw=")</f>
        <v>#REF!</v>
      </c>
      <c r="BZ6" t="e">
        <f>AND(#REF!,"AAAAAGfe0k0=")</f>
        <v>#REF!</v>
      </c>
      <c r="CA6" t="e">
        <f>AND(#REF!,"AAAAAGfe0k4=")</f>
        <v>#REF!</v>
      </c>
      <c r="CB6" t="e">
        <f>AND(#REF!,"AAAAAGfe0k8=")</f>
        <v>#REF!</v>
      </c>
      <c r="CC6" t="e">
        <f>AND(#REF!,"AAAAAGfe0lA=")</f>
        <v>#REF!</v>
      </c>
      <c r="CD6" t="e">
        <f>AND(#REF!,"AAAAAGfe0lE=")</f>
        <v>#REF!</v>
      </c>
      <c r="CE6" t="e">
        <f>AND(#REF!,"AAAAAGfe0lI=")</f>
        <v>#REF!</v>
      </c>
      <c r="CF6" t="e">
        <f>AND(#REF!,"AAAAAGfe0lM=")</f>
        <v>#REF!</v>
      </c>
      <c r="CG6" t="e">
        <f>IF(#REF!,"AAAAAGfe0lQ=",0)</f>
        <v>#REF!</v>
      </c>
      <c r="CH6" t="e">
        <f>AND(#REF!,"AAAAAGfe0lU=")</f>
        <v>#REF!</v>
      </c>
      <c r="CI6" t="e">
        <f>AND(#REF!,"AAAAAGfe0lY=")</f>
        <v>#REF!</v>
      </c>
      <c r="CJ6" t="e">
        <f>AND(#REF!,"AAAAAGfe0lc=")</f>
        <v>#REF!</v>
      </c>
      <c r="CK6" t="e">
        <f>AND(#REF!,"AAAAAGfe0lg=")</f>
        <v>#REF!</v>
      </c>
      <c r="CL6" t="e">
        <f>AND(#REF!,"AAAAAGfe0lk=")</f>
        <v>#REF!</v>
      </c>
      <c r="CM6" t="e">
        <f>AND(#REF!,"AAAAAGfe0lo=")</f>
        <v>#REF!</v>
      </c>
      <c r="CN6" t="e">
        <f>AND(#REF!,"AAAAAGfe0ls=")</f>
        <v>#REF!</v>
      </c>
      <c r="CO6" t="e">
        <f>AND(#REF!,"AAAAAGfe0lw=")</f>
        <v>#REF!</v>
      </c>
      <c r="CP6" t="e">
        <f>AND(#REF!,"AAAAAGfe0l0=")</f>
        <v>#REF!</v>
      </c>
      <c r="CQ6" t="e">
        <f>AND(#REF!,"AAAAAGfe0l4=")</f>
        <v>#REF!</v>
      </c>
      <c r="CR6" t="e">
        <f>AND(#REF!,"AAAAAGfe0l8=")</f>
        <v>#REF!</v>
      </c>
      <c r="CS6" t="e">
        <f>AND(#REF!,"AAAAAGfe0mA=")</f>
        <v>#REF!</v>
      </c>
      <c r="CT6" t="e">
        <f>AND(#REF!,"AAAAAGfe0mE=")</f>
        <v>#REF!</v>
      </c>
      <c r="CU6" t="e">
        <f>AND(#REF!,"AAAAAGfe0mI=")</f>
        <v>#REF!</v>
      </c>
      <c r="CV6" t="e">
        <f>AND(#REF!,"AAAAAGfe0mM=")</f>
        <v>#REF!</v>
      </c>
      <c r="CW6" t="e">
        <f>AND(#REF!,"AAAAAGfe0mQ=")</f>
        <v>#REF!</v>
      </c>
      <c r="CX6" t="e">
        <f>AND(#REF!,"AAAAAGfe0mU=")</f>
        <v>#REF!</v>
      </c>
      <c r="CY6" t="e">
        <f>AND(#REF!,"AAAAAGfe0mY=")</f>
        <v>#REF!</v>
      </c>
      <c r="CZ6" t="e">
        <f>AND(#REF!,"AAAAAGfe0mc=")</f>
        <v>#REF!</v>
      </c>
      <c r="DA6" t="e">
        <f>AND(#REF!,"AAAAAGfe0mg=")</f>
        <v>#REF!</v>
      </c>
      <c r="DB6" t="e">
        <f>AND(#REF!,"AAAAAGfe0mk=")</f>
        <v>#REF!</v>
      </c>
      <c r="DC6" t="e">
        <f>AND(#REF!,"AAAAAGfe0mo=")</f>
        <v>#REF!</v>
      </c>
      <c r="DD6" t="e">
        <f>IF(#REF!,"AAAAAGfe0ms=",0)</f>
        <v>#REF!</v>
      </c>
      <c r="DE6" t="e">
        <f>AND(#REF!,"AAAAAGfe0mw=")</f>
        <v>#REF!</v>
      </c>
      <c r="DF6" t="e">
        <f>AND(#REF!,"AAAAAGfe0m0=")</f>
        <v>#REF!</v>
      </c>
      <c r="DG6" t="e">
        <f>AND(#REF!,"AAAAAGfe0m4=")</f>
        <v>#REF!</v>
      </c>
      <c r="DH6" t="e">
        <f>AND(#REF!,"AAAAAGfe0m8=")</f>
        <v>#REF!</v>
      </c>
      <c r="DI6" t="e">
        <f>AND(#REF!,"AAAAAGfe0nA=")</f>
        <v>#REF!</v>
      </c>
      <c r="DJ6" t="e">
        <f>AND(#REF!,"AAAAAGfe0nE=")</f>
        <v>#REF!</v>
      </c>
      <c r="DK6" t="e">
        <f>AND(#REF!,"AAAAAGfe0nI=")</f>
        <v>#REF!</v>
      </c>
      <c r="DL6" t="e">
        <f>AND(#REF!,"AAAAAGfe0nM=")</f>
        <v>#REF!</v>
      </c>
      <c r="DM6" t="e">
        <f>AND(#REF!,"AAAAAGfe0nQ=")</f>
        <v>#REF!</v>
      </c>
      <c r="DN6" t="e">
        <f>AND(#REF!,"AAAAAGfe0nU=")</f>
        <v>#REF!</v>
      </c>
      <c r="DO6" t="e">
        <f>AND(#REF!,"AAAAAGfe0nY=")</f>
        <v>#REF!</v>
      </c>
      <c r="DP6" t="e">
        <f>AND(#REF!,"AAAAAGfe0nc=")</f>
        <v>#REF!</v>
      </c>
      <c r="DQ6" t="e">
        <f>AND(#REF!,"AAAAAGfe0ng=")</f>
        <v>#REF!</v>
      </c>
      <c r="DR6" t="e">
        <f>AND(#REF!,"AAAAAGfe0nk=")</f>
        <v>#REF!</v>
      </c>
      <c r="DS6" t="e">
        <f>AND(#REF!,"AAAAAGfe0no=")</f>
        <v>#REF!</v>
      </c>
      <c r="DT6" t="e">
        <f>AND(#REF!,"AAAAAGfe0ns=")</f>
        <v>#REF!</v>
      </c>
      <c r="DU6" t="e">
        <f>AND(#REF!,"AAAAAGfe0nw=")</f>
        <v>#REF!</v>
      </c>
      <c r="DV6" t="e">
        <f>AND(#REF!,"AAAAAGfe0n0=")</f>
        <v>#REF!</v>
      </c>
      <c r="DW6" t="e">
        <f>AND(#REF!,"AAAAAGfe0n4=")</f>
        <v>#REF!</v>
      </c>
      <c r="DX6" t="e">
        <f>AND(#REF!,"AAAAAGfe0n8=")</f>
        <v>#REF!</v>
      </c>
      <c r="DY6" t="e">
        <f>AND(#REF!,"AAAAAGfe0oA=")</f>
        <v>#REF!</v>
      </c>
      <c r="DZ6" t="e">
        <f>AND(#REF!,"AAAAAGfe0oE=")</f>
        <v>#REF!</v>
      </c>
      <c r="EA6" t="e">
        <f>IF(#REF!,"AAAAAGfe0oI=",0)</f>
        <v>#REF!</v>
      </c>
      <c r="EB6" t="e">
        <f>AND(#REF!,"AAAAAGfe0oM=")</f>
        <v>#REF!</v>
      </c>
      <c r="EC6" t="e">
        <f>AND(#REF!,"AAAAAGfe0oQ=")</f>
        <v>#REF!</v>
      </c>
      <c r="ED6" t="e">
        <f>AND(#REF!,"AAAAAGfe0oU=")</f>
        <v>#REF!</v>
      </c>
      <c r="EE6" t="e">
        <f>AND(#REF!,"AAAAAGfe0oY=")</f>
        <v>#REF!</v>
      </c>
      <c r="EF6" t="e">
        <f>AND(#REF!,"AAAAAGfe0oc=")</f>
        <v>#REF!</v>
      </c>
      <c r="EG6" t="e">
        <f>AND(#REF!,"AAAAAGfe0og=")</f>
        <v>#REF!</v>
      </c>
      <c r="EH6" t="e">
        <f>AND(#REF!,"AAAAAGfe0ok=")</f>
        <v>#REF!</v>
      </c>
      <c r="EI6" t="e">
        <f>AND(#REF!,"AAAAAGfe0oo=")</f>
        <v>#REF!</v>
      </c>
      <c r="EJ6" t="e">
        <f>AND(#REF!,"AAAAAGfe0os=")</f>
        <v>#REF!</v>
      </c>
      <c r="EK6" t="e">
        <f>AND(#REF!,"AAAAAGfe0ow=")</f>
        <v>#REF!</v>
      </c>
      <c r="EL6" t="e">
        <f>AND(#REF!,"AAAAAGfe0o0=")</f>
        <v>#REF!</v>
      </c>
      <c r="EM6" t="e">
        <f>AND(#REF!,"AAAAAGfe0o4=")</f>
        <v>#REF!</v>
      </c>
      <c r="EN6" t="e">
        <f>AND(#REF!,"AAAAAGfe0o8=")</f>
        <v>#REF!</v>
      </c>
      <c r="EO6" t="e">
        <f>AND(#REF!,"AAAAAGfe0pA=")</f>
        <v>#REF!</v>
      </c>
      <c r="EP6" t="e">
        <f>AND(#REF!,"AAAAAGfe0pE=")</f>
        <v>#REF!</v>
      </c>
      <c r="EQ6" t="e">
        <f>AND(#REF!,"AAAAAGfe0pI=")</f>
        <v>#REF!</v>
      </c>
      <c r="ER6" t="e">
        <f>AND(#REF!,"AAAAAGfe0pM=")</f>
        <v>#REF!</v>
      </c>
      <c r="ES6" t="e">
        <f>AND(#REF!,"AAAAAGfe0pQ=")</f>
        <v>#REF!</v>
      </c>
      <c r="ET6" t="e">
        <f>AND(#REF!,"AAAAAGfe0pU=")</f>
        <v>#REF!</v>
      </c>
      <c r="EU6" t="e">
        <f>AND(#REF!,"AAAAAGfe0pY=")</f>
        <v>#REF!</v>
      </c>
      <c r="EV6" t="e">
        <f>AND(#REF!,"AAAAAGfe0pc=")</f>
        <v>#REF!</v>
      </c>
      <c r="EW6" t="e">
        <f>AND(#REF!,"AAAAAGfe0pg=")</f>
        <v>#REF!</v>
      </c>
      <c r="EX6" t="e">
        <f>IF(#REF!,"AAAAAGfe0pk=",0)</f>
        <v>#REF!</v>
      </c>
      <c r="EY6" t="e">
        <f>AND(#REF!,"AAAAAGfe0po=")</f>
        <v>#REF!</v>
      </c>
      <c r="EZ6" t="e">
        <f>AND(#REF!,"AAAAAGfe0ps=")</f>
        <v>#REF!</v>
      </c>
      <c r="FA6" t="e">
        <f>AND(#REF!,"AAAAAGfe0pw=")</f>
        <v>#REF!</v>
      </c>
      <c r="FB6" t="e">
        <f>AND(#REF!,"AAAAAGfe0p0=")</f>
        <v>#REF!</v>
      </c>
      <c r="FC6" t="e">
        <f>AND(#REF!,"AAAAAGfe0p4=")</f>
        <v>#REF!</v>
      </c>
      <c r="FD6" t="e">
        <f>AND(#REF!,"AAAAAGfe0p8=")</f>
        <v>#REF!</v>
      </c>
      <c r="FE6" t="e">
        <f>AND(#REF!,"AAAAAGfe0qA=")</f>
        <v>#REF!</v>
      </c>
      <c r="FF6" t="e">
        <f>AND(#REF!,"AAAAAGfe0qE=")</f>
        <v>#REF!</v>
      </c>
      <c r="FG6" t="e">
        <f>AND(#REF!,"AAAAAGfe0qI=")</f>
        <v>#REF!</v>
      </c>
      <c r="FH6" t="e">
        <f>AND(#REF!,"AAAAAGfe0qM=")</f>
        <v>#REF!</v>
      </c>
      <c r="FI6" t="e">
        <f>AND(#REF!,"AAAAAGfe0qQ=")</f>
        <v>#REF!</v>
      </c>
      <c r="FJ6" t="e">
        <f>AND(#REF!,"AAAAAGfe0qU=")</f>
        <v>#REF!</v>
      </c>
      <c r="FK6" t="e">
        <f>AND(#REF!,"AAAAAGfe0qY=")</f>
        <v>#REF!</v>
      </c>
      <c r="FL6" t="e">
        <f>AND(#REF!,"AAAAAGfe0qc=")</f>
        <v>#REF!</v>
      </c>
      <c r="FM6" t="e">
        <f>AND(#REF!,"AAAAAGfe0qg=")</f>
        <v>#REF!</v>
      </c>
      <c r="FN6" t="e">
        <f>AND(#REF!,"AAAAAGfe0qk=")</f>
        <v>#REF!</v>
      </c>
      <c r="FO6" t="e">
        <f>AND(#REF!,"AAAAAGfe0qo=")</f>
        <v>#REF!</v>
      </c>
      <c r="FP6" t="e">
        <f>AND(#REF!,"AAAAAGfe0qs=")</f>
        <v>#REF!</v>
      </c>
      <c r="FQ6" t="e">
        <f>AND(#REF!,"AAAAAGfe0qw=")</f>
        <v>#REF!</v>
      </c>
      <c r="FR6" t="e">
        <f>AND(#REF!,"AAAAAGfe0q0=")</f>
        <v>#REF!</v>
      </c>
      <c r="FS6" t="e">
        <f>AND(#REF!,"AAAAAGfe0q4=")</f>
        <v>#REF!</v>
      </c>
      <c r="FT6" t="e">
        <f>AND(#REF!,"AAAAAGfe0q8=")</f>
        <v>#REF!</v>
      </c>
      <c r="FU6" t="e">
        <f>IF(#REF!,"AAAAAGfe0rA=",0)</f>
        <v>#REF!</v>
      </c>
      <c r="FV6" t="e">
        <f>AND(#REF!,"AAAAAGfe0rE=")</f>
        <v>#REF!</v>
      </c>
      <c r="FW6" t="e">
        <f>AND(#REF!,"AAAAAGfe0rI=")</f>
        <v>#REF!</v>
      </c>
      <c r="FX6" t="e">
        <f>AND(#REF!,"AAAAAGfe0rM=")</f>
        <v>#REF!</v>
      </c>
      <c r="FY6" t="e">
        <f>AND(#REF!,"AAAAAGfe0rQ=")</f>
        <v>#REF!</v>
      </c>
      <c r="FZ6" t="e">
        <f>AND(#REF!,"AAAAAGfe0rU=")</f>
        <v>#REF!</v>
      </c>
      <c r="GA6" t="e">
        <f>AND(#REF!,"AAAAAGfe0rY=")</f>
        <v>#REF!</v>
      </c>
      <c r="GB6" t="e">
        <f>AND(#REF!,"AAAAAGfe0rc=")</f>
        <v>#REF!</v>
      </c>
      <c r="GC6" t="e">
        <f>AND(#REF!,"AAAAAGfe0rg=")</f>
        <v>#REF!</v>
      </c>
      <c r="GD6" t="e">
        <f>AND(#REF!,"AAAAAGfe0rk=")</f>
        <v>#REF!</v>
      </c>
      <c r="GE6" t="e">
        <f>AND(#REF!,"AAAAAGfe0ro=")</f>
        <v>#REF!</v>
      </c>
      <c r="GF6" t="e">
        <f>AND(#REF!,"AAAAAGfe0rs=")</f>
        <v>#REF!</v>
      </c>
      <c r="GG6" t="e">
        <f>AND(#REF!,"AAAAAGfe0rw=")</f>
        <v>#REF!</v>
      </c>
      <c r="GH6" t="e">
        <f>AND(#REF!,"AAAAAGfe0r0=")</f>
        <v>#REF!</v>
      </c>
      <c r="GI6" t="e">
        <f>AND(#REF!,"AAAAAGfe0r4=")</f>
        <v>#REF!</v>
      </c>
      <c r="GJ6" t="e">
        <f>AND(#REF!,"AAAAAGfe0r8=")</f>
        <v>#REF!</v>
      </c>
      <c r="GK6" t="e">
        <f>AND(#REF!,"AAAAAGfe0sA=")</f>
        <v>#REF!</v>
      </c>
      <c r="GL6" t="e">
        <f>AND(#REF!,"AAAAAGfe0sE=")</f>
        <v>#REF!</v>
      </c>
      <c r="GM6" t="e">
        <f>AND(#REF!,"AAAAAGfe0sI=")</f>
        <v>#REF!</v>
      </c>
      <c r="GN6" t="e">
        <f>AND(#REF!,"AAAAAGfe0sM=")</f>
        <v>#REF!</v>
      </c>
      <c r="GO6" t="e">
        <f>AND(#REF!,"AAAAAGfe0sQ=")</f>
        <v>#REF!</v>
      </c>
      <c r="GP6" t="e">
        <f>AND(#REF!,"AAAAAGfe0sU=")</f>
        <v>#REF!</v>
      </c>
      <c r="GQ6" t="e">
        <f>AND(#REF!,"AAAAAGfe0sY=")</f>
        <v>#REF!</v>
      </c>
      <c r="GR6" t="e">
        <f>IF(#REF!,"AAAAAGfe0sc=",0)</f>
        <v>#REF!</v>
      </c>
      <c r="GS6" t="e">
        <f>AND(#REF!,"AAAAAGfe0sg=")</f>
        <v>#REF!</v>
      </c>
      <c r="GT6" t="e">
        <f>AND(#REF!,"AAAAAGfe0sk=")</f>
        <v>#REF!</v>
      </c>
      <c r="GU6" t="e">
        <f>AND(#REF!,"AAAAAGfe0so=")</f>
        <v>#REF!</v>
      </c>
      <c r="GV6" t="e">
        <f>AND(#REF!,"AAAAAGfe0ss=")</f>
        <v>#REF!</v>
      </c>
      <c r="GW6" t="e">
        <f>AND(#REF!,"AAAAAGfe0sw=")</f>
        <v>#REF!</v>
      </c>
      <c r="GX6" t="e">
        <f>AND(#REF!,"AAAAAGfe0s0=")</f>
        <v>#REF!</v>
      </c>
      <c r="GY6" t="e">
        <f>AND(#REF!,"AAAAAGfe0s4=")</f>
        <v>#REF!</v>
      </c>
      <c r="GZ6" t="e">
        <f>AND(#REF!,"AAAAAGfe0s8=")</f>
        <v>#REF!</v>
      </c>
      <c r="HA6" t="e">
        <f>AND(#REF!,"AAAAAGfe0tA=")</f>
        <v>#REF!</v>
      </c>
      <c r="HB6" t="e">
        <f>AND(#REF!,"AAAAAGfe0tE=")</f>
        <v>#REF!</v>
      </c>
      <c r="HC6" t="e">
        <f>AND(#REF!,"AAAAAGfe0tI=")</f>
        <v>#REF!</v>
      </c>
      <c r="HD6" t="e">
        <f>AND(#REF!,"AAAAAGfe0tM=")</f>
        <v>#REF!</v>
      </c>
      <c r="HE6" t="e">
        <f>AND(#REF!,"AAAAAGfe0tQ=")</f>
        <v>#REF!</v>
      </c>
      <c r="HF6" t="e">
        <f>AND(#REF!,"AAAAAGfe0tU=")</f>
        <v>#REF!</v>
      </c>
      <c r="HG6" t="e">
        <f>AND(#REF!,"AAAAAGfe0tY=")</f>
        <v>#REF!</v>
      </c>
      <c r="HH6" t="e">
        <f>AND(#REF!,"AAAAAGfe0tc=")</f>
        <v>#REF!</v>
      </c>
      <c r="HI6" t="e">
        <f>AND(#REF!,"AAAAAGfe0tg=")</f>
        <v>#REF!</v>
      </c>
      <c r="HJ6" t="e">
        <f>AND(#REF!,"AAAAAGfe0tk=")</f>
        <v>#REF!</v>
      </c>
      <c r="HK6" t="e">
        <f>AND(#REF!,"AAAAAGfe0to=")</f>
        <v>#REF!</v>
      </c>
      <c r="HL6" t="e">
        <f>AND(#REF!,"AAAAAGfe0ts=")</f>
        <v>#REF!</v>
      </c>
      <c r="HM6" t="e">
        <f>AND(#REF!,"AAAAAGfe0tw=")</f>
        <v>#REF!</v>
      </c>
      <c r="HN6" t="e">
        <f>AND(#REF!,"AAAAAGfe0t0=")</f>
        <v>#REF!</v>
      </c>
      <c r="HO6" t="e">
        <f>IF(#REF!,"AAAAAGfe0t4=",0)</f>
        <v>#REF!</v>
      </c>
      <c r="HP6" t="e">
        <f>AND(#REF!,"AAAAAGfe0t8=")</f>
        <v>#REF!</v>
      </c>
      <c r="HQ6" t="e">
        <f>AND(#REF!,"AAAAAGfe0uA=")</f>
        <v>#REF!</v>
      </c>
      <c r="HR6" t="e">
        <f>AND(#REF!,"AAAAAGfe0uE=")</f>
        <v>#REF!</v>
      </c>
      <c r="HS6" t="e">
        <f>AND(#REF!,"AAAAAGfe0uI=")</f>
        <v>#REF!</v>
      </c>
      <c r="HT6" t="e">
        <f>AND(#REF!,"AAAAAGfe0uM=")</f>
        <v>#REF!</v>
      </c>
      <c r="HU6" t="e">
        <f>AND(#REF!,"AAAAAGfe0uQ=")</f>
        <v>#REF!</v>
      </c>
      <c r="HV6" t="e">
        <f>AND(#REF!,"AAAAAGfe0uU=")</f>
        <v>#REF!</v>
      </c>
      <c r="HW6" t="e">
        <f>AND(#REF!,"AAAAAGfe0uY=")</f>
        <v>#REF!</v>
      </c>
      <c r="HX6" t="e">
        <f>AND(#REF!,"AAAAAGfe0uc=")</f>
        <v>#REF!</v>
      </c>
      <c r="HY6" t="e">
        <f>AND(#REF!,"AAAAAGfe0ug=")</f>
        <v>#REF!</v>
      </c>
      <c r="HZ6" t="e">
        <f>AND(#REF!,"AAAAAGfe0uk=")</f>
        <v>#REF!</v>
      </c>
      <c r="IA6" t="e">
        <f>AND(#REF!,"AAAAAGfe0uo=")</f>
        <v>#REF!</v>
      </c>
      <c r="IB6" t="e">
        <f>AND(#REF!,"AAAAAGfe0us=")</f>
        <v>#REF!</v>
      </c>
      <c r="IC6" t="e">
        <f>AND(#REF!,"AAAAAGfe0uw=")</f>
        <v>#REF!</v>
      </c>
      <c r="ID6" t="e">
        <f>AND(#REF!,"AAAAAGfe0u0=")</f>
        <v>#REF!</v>
      </c>
      <c r="IE6" t="e">
        <f>AND(#REF!,"AAAAAGfe0u4=")</f>
        <v>#REF!</v>
      </c>
      <c r="IF6" t="e">
        <f>AND(#REF!,"AAAAAGfe0u8=")</f>
        <v>#REF!</v>
      </c>
      <c r="IG6" t="e">
        <f>AND(#REF!,"AAAAAGfe0vA=")</f>
        <v>#REF!</v>
      </c>
      <c r="IH6" t="e">
        <f>AND(#REF!,"AAAAAGfe0vE=")</f>
        <v>#REF!</v>
      </c>
      <c r="II6" t="e">
        <f>AND(#REF!,"AAAAAGfe0vI=")</f>
        <v>#REF!</v>
      </c>
      <c r="IJ6" t="e">
        <f>AND(#REF!,"AAAAAGfe0vM=")</f>
        <v>#REF!</v>
      </c>
      <c r="IK6" t="e">
        <f>AND(#REF!,"AAAAAGfe0vQ=")</f>
        <v>#REF!</v>
      </c>
      <c r="IL6" t="e">
        <f>IF(#REF!,"AAAAAGfe0vU=",0)</f>
        <v>#REF!</v>
      </c>
      <c r="IM6" t="e">
        <f>AND(#REF!,"AAAAAGfe0vY=")</f>
        <v>#REF!</v>
      </c>
      <c r="IN6" t="e">
        <f>AND(#REF!,"AAAAAGfe0vc=")</f>
        <v>#REF!</v>
      </c>
      <c r="IO6" t="e">
        <f>AND(#REF!,"AAAAAGfe0vg=")</f>
        <v>#REF!</v>
      </c>
      <c r="IP6" t="e">
        <f>AND(#REF!,"AAAAAGfe0vk=")</f>
        <v>#REF!</v>
      </c>
      <c r="IQ6" t="e">
        <f>AND(#REF!,"AAAAAGfe0vo=")</f>
        <v>#REF!</v>
      </c>
      <c r="IR6" t="e">
        <f>AND(#REF!,"AAAAAGfe0vs=")</f>
        <v>#REF!</v>
      </c>
      <c r="IS6" t="e">
        <f>AND(#REF!,"AAAAAGfe0vw=")</f>
        <v>#REF!</v>
      </c>
      <c r="IT6" t="e">
        <f>AND(#REF!,"AAAAAGfe0v0=")</f>
        <v>#REF!</v>
      </c>
      <c r="IU6" t="e">
        <f>AND(#REF!,"AAAAAGfe0v4=")</f>
        <v>#REF!</v>
      </c>
      <c r="IV6" t="e">
        <f>AND(#REF!,"AAAAAGfe0v8=")</f>
        <v>#REF!</v>
      </c>
    </row>
    <row r="7" spans="1:256" ht="15">
      <c r="A7" t="e">
        <f>AND(#REF!,"AAAAAHXbSwA=")</f>
        <v>#REF!</v>
      </c>
      <c r="B7" t="e">
        <f>AND(#REF!,"AAAAAHXbSwE=")</f>
        <v>#REF!</v>
      </c>
      <c r="C7" t="e">
        <f>AND(#REF!,"AAAAAHXbSwI=")</f>
        <v>#REF!</v>
      </c>
      <c r="D7" t="e">
        <f>AND(#REF!,"AAAAAHXbSwM=")</f>
        <v>#REF!</v>
      </c>
      <c r="E7" t="e">
        <f>AND(#REF!,"AAAAAHXbSwQ=")</f>
        <v>#REF!</v>
      </c>
      <c r="F7" t="e">
        <f>AND(#REF!,"AAAAAHXbSwU=")</f>
        <v>#REF!</v>
      </c>
      <c r="G7" t="e">
        <f>AND(#REF!,"AAAAAHXbSwY=")</f>
        <v>#REF!</v>
      </c>
      <c r="H7" t="e">
        <f>AND(#REF!,"AAAAAHXbSwc=")</f>
        <v>#REF!</v>
      </c>
      <c r="I7" t="e">
        <f>AND(#REF!,"AAAAAHXbSwg=")</f>
        <v>#REF!</v>
      </c>
      <c r="J7" t="e">
        <f>AND(#REF!,"AAAAAHXbSwk=")</f>
        <v>#REF!</v>
      </c>
      <c r="K7" t="e">
        <f>AND(#REF!,"AAAAAHXbSwo=")</f>
        <v>#REF!</v>
      </c>
      <c r="L7" t="e">
        <f>AND(#REF!,"AAAAAHXbSws=")</f>
        <v>#REF!</v>
      </c>
      <c r="M7" t="e">
        <f>IF(#REF!,"AAAAAHXbSww=",0)</f>
        <v>#REF!</v>
      </c>
      <c r="N7" t="e">
        <f>AND(#REF!,"AAAAAHXbSw0=")</f>
        <v>#REF!</v>
      </c>
      <c r="O7" t="e">
        <f>AND(#REF!,"AAAAAHXbSw4=")</f>
        <v>#REF!</v>
      </c>
      <c r="P7" t="e">
        <f>AND(#REF!,"AAAAAHXbSw8=")</f>
        <v>#REF!</v>
      </c>
      <c r="Q7" t="e">
        <f>AND(#REF!,"AAAAAHXbSxA=")</f>
        <v>#REF!</v>
      </c>
      <c r="R7" t="e">
        <f>AND(#REF!,"AAAAAHXbSxE=")</f>
        <v>#REF!</v>
      </c>
      <c r="S7" t="e">
        <f>AND(#REF!,"AAAAAHXbSxI=")</f>
        <v>#REF!</v>
      </c>
      <c r="T7" t="e">
        <f>AND(#REF!,"AAAAAHXbSxM=")</f>
        <v>#REF!</v>
      </c>
      <c r="U7" t="e">
        <f>AND(#REF!,"AAAAAHXbSxQ=")</f>
        <v>#REF!</v>
      </c>
      <c r="V7" t="e">
        <f>AND(#REF!,"AAAAAHXbSxU=")</f>
        <v>#REF!</v>
      </c>
      <c r="W7" t="e">
        <f>AND(#REF!,"AAAAAHXbSxY=")</f>
        <v>#REF!</v>
      </c>
      <c r="X7" t="e">
        <f>AND(#REF!,"AAAAAHXbSxc=")</f>
        <v>#REF!</v>
      </c>
      <c r="Y7" t="e">
        <f>AND(#REF!,"AAAAAHXbSxg=")</f>
        <v>#REF!</v>
      </c>
      <c r="Z7" t="e">
        <f>AND(#REF!,"AAAAAHXbSxk=")</f>
        <v>#REF!</v>
      </c>
      <c r="AA7" t="e">
        <f>AND(#REF!,"AAAAAHXbSxo=")</f>
        <v>#REF!</v>
      </c>
      <c r="AB7" t="e">
        <f>AND(#REF!,"AAAAAHXbSxs=")</f>
        <v>#REF!</v>
      </c>
      <c r="AC7" t="e">
        <f>AND(#REF!,"AAAAAHXbSxw=")</f>
        <v>#REF!</v>
      </c>
      <c r="AD7" t="e">
        <f>AND(#REF!,"AAAAAHXbSx0=")</f>
        <v>#REF!</v>
      </c>
      <c r="AE7" t="e">
        <f>AND(#REF!,"AAAAAHXbSx4=")</f>
        <v>#REF!</v>
      </c>
      <c r="AF7" t="e">
        <f>AND(#REF!,"AAAAAHXbSx8=")</f>
        <v>#REF!</v>
      </c>
      <c r="AG7" t="e">
        <f>AND(#REF!,"AAAAAHXbSyA=")</f>
        <v>#REF!</v>
      </c>
      <c r="AH7" t="e">
        <f>AND(#REF!,"AAAAAHXbSyE=")</f>
        <v>#REF!</v>
      </c>
      <c r="AI7" t="e">
        <f>AND(#REF!,"AAAAAHXbSyI=")</f>
        <v>#REF!</v>
      </c>
      <c r="AJ7" t="e">
        <f>IF(#REF!,"AAAAAHXbSyM=",0)</f>
        <v>#REF!</v>
      </c>
      <c r="AK7" t="e">
        <f>AND(#REF!,"AAAAAHXbSyQ=")</f>
        <v>#REF!</v>
      </c>
      <c r="AL7" t="e">
        <f>AND(#REF!,"AAAAAHXbSyU=")</f>
        <v>#REF!</v>
      </c>
      <c r="AM7" t="e">
        <f>AND(#REF!,"AAAAAHXbSyY=")</f>
        <v>#REF!</v>
      </c>
      <c r="AN7" t="e">
        <f>AND(#REF!,"AAAAAHXbSyc=")</f>
        <v>#REF!</v>
      </c>
      <c r="AO7" t="e">
        <f>AND(#REF!,"AAAAAHXbSyg=")</f>
        <v>#REF!</v>
      </c>
      <c r="AP7" t="e">
        <f>AND(#REF!,"AAAAAHXbSyk=")</f>
        <v>#REF!</v>
      </c>
      <c r="AQ7" t="e">
        <f>AND(#REF!,"AAAAAHXbSyo=")</f>
        <v>#REF!</v>
      </c>
      <c r="AR7" t="e">
        <f>AND(#REF!,"AAAAAHXbSys=")</f>
        <v>#REF!</v>
      </c>
      <c r="AS7" t="e">
        <f>AND(#REF!,"AAAAAHXbSyw=")</f>
        <v>#REF!</v>
      </c>
      <c r="AT7" t="e">
        <f>AND(#REF!,"AAAAAHXbSy0=")</f>
        <v>#REF!</v>
      </c>
      <c r="AU7" t="e">
        <f>AND(#REF!,"AAAAAHXbSy4=")</f>
        <v>#REF!</v>
      </c>
      <c r="AV7" t="e">
        <f>AND(#REF!,"AAAAAHXbSy8=")</f>
        <v>#REF!</v>
      </c>
      <c r="AW7" t="e">
        <f>AND(#REF!,"AAAAAHXbSzA=")</f>
        <v>#REF!</v>
      </c>
      <c r="AX7" t="e">
        <f>AND(#REF!,"AAAAAHXbSzE=")</f>
        <v>#REF!</v>
      </c>
      <c r="AY7" t="e">
        <f>AND(#REF!,"AAAAAHXbSzI=")</f>
        <v>#REF!</v>
      </c>
      <c r="AZ7" t="e">
        <f>AND(#REF!,"AAAAAHXbSzM=")</f>
        <v>#REF!</v>
      </c>
      <c r="BA7" t="e">
        <f>AND(#REF!,"AAAAAHXbSzQ=")</f>
        <v>#REF!</v>
      </c>
      <c r="BB7" t="e">
        <f>AND(#REF!,"AAAAAHXbSzU=")</f>
        <v>#REF!</v>
      </c>
      <c r="BC7" t="e">
        <f>AND(#REF!,"AAAAAHXbSzY=")</f>
        <v>#REF!</v>
      </c>
      <c r="BD7" t="e">
        <f>AND(#REF!,"AAAAAHXbSzc=")</f>
        <v>#REF!</v>
      </c>
      <c r="BE7" t="e">
        <f>AND(#REF!,"AAAAAHXbSzg=")</f>
        <v>#REF!</v>
      </c>
      <c r="BF7" t="e">
        <f>AND(#REF!,"AAAAAHXbSzk=")</f>
        <v>#REF!</v>
      </c>
      <c r="BG7" t="e">
        <f>IF(#REF!,"AAAAAHXbSzo=",0)</f>
        <v>#REF!</v>
      </c>
      <c r="BH7" t="e">
        <f>AND(#REF!,"AAAAAHXbSzs=")</f>
        <v>#REF!</v>
      </c>
      <c r="BI7" t="e">
        <f>AND(#REF!,"AAAAAHXbSzw=")</f>
        <v>#REF!</v>
      </c>
      <c r="BJ7" t="e">
        <f>AND(#REF!,"AAAAAHXbSz0=")</f>
        <v>#REF!</v>
      </c>
      <c r="BK7" t="e">
        <f>AND(#REF!,"AAAAAHXbSz4=")</f>
        <v>#REF!</v>
      </c>
      <c r="BL7" t="e">
        <f>AND(#REF!,"AAAAAHXbSz8=")</f>
        <v>#REF!</v>
      </c>
      <c r="BM7" t="e">
        <f>AND(#REF!,"AAAAAHXbS0A=")</f>
        <v>#REF!</v>
      </c>
      <c r="BN7" t="e">
        <f>AND(#REF!,"AAAAAHXbS0E=")</f>
        <v>#REF!</v>
      </c>
      <c r="BO7" t="e">
        <f>AND(#REF!,"AAAAAHXbS0I=")</f>
        <v>#REF!</v>
      </c>
      <c r="BP7" t="e">
        <f>AND(#REF!,"AAAAAHXbS0M=")</f>
        <v>#REF!</v>
      </c>
      <c r="BQ7" t="e">
        <f>AND(#REF!,"AAAAAHXbS0Q=")</f>
        <v>#REF!</v>
      </c>
      <c r="BR7" t="e">
        <f>AND(#REF!,"AAAAAHXbS0U=")</f>
        <v>#REF!</v>
      </c>
      <c r="BS7" t="e">
        <f>AND(#REF!,"AAAAAHXbS0Y=")</f>
        <v>#REF!</v>
      </c>
      <c r="BT7" t="e">
        <f>AND(#REF!,"AAAAAHXbS0c=")</f>
        <v>#REF!</v>
      </c>
      <c r="BU7" t="e">
        <f>AND(#REF!,"AAAAAHXbS0g=")</f>
        <v>#REF!</v>
      </c>
      <c r="BV7" t="e">
        <f>AND(#REF!,"AAAAAHXbS0k=")</f>
        <v>#REF!</v>
      </c>
      <c r="BW7" t="e">
        <f>AND(#REF!,"AAAAAHXbS0o=")</f>
        <v>#REF!</v>
      </c>
      <c r="BX7" t="e">
        <f>AND(#REF!,"AAAAAHXbS0s=")</f>
        <v>#REF!</v>
      </c>
      <c r="BY7" t="e">
        <f>AND(#REF!,"AAAAAHXbS0w=")</f>
        <v>#REF!</v>
      </c>
      <c r="BZ7" t="e">
        <f>AND(#REF!,"AAAAAHXbS00=")</f>
        <v>#REF!</v>
      </c>
      <c r="CA7" t="e">
        <f>AND(#REF!,"AAAAAHXbS04=")</f>
        <v>#REF!</v>
      </c>
      <c r="CB7" t="e">
        <f>AND(#REF!,"AAAAAHXbS08=")</f>
        <v>#REF!</v>
      </c>
      <c r="CC7" t="e">
        <f>AND(#REF!,"AAAAAHXbS1A=")</f>
        <v>#REF!</v>
      </c>
      <c r="CD7" t="e">
        <f>IF(#REF!,"AAAAAHXbS1E=",0)</f>
        <v>#REF!</v>
      </c>
      <c r="CE7" t="e">
        <f>AND(#REF!,"AAAAAHXbS1I=")</f>
        <v>#REF!</v>
      </c>
      <c r="CF7" t="e">
        <f>AND(#REF!,"AAAAAHXbS1M=")</f>
        <v>#REF!</v>
      </c>
      <c r="CG7" t="e">
        <f>AND(#REF!,"AAAAAHXbS1Q=")</f>
        <v>#REF!</v>
      </c>
      <c r="CH7" t="e">
        <f>AND(#REF!,"AAAAAHXbS1U=")</f>
        <v>#REF!</v>
      </c>
      <c r="CI7" t="e">
        <f>AND(#REF!,"AAAAAHXbS1Y=")</f>
        <v>#REF!</v>
      </c>
      <c r="CJ7" t="e">
        <f>AND(#REF!,"AAAAAHXbS1c=")</f>
        <v>#REF!</v>
      </c>
      <c r="CK7" t="e">
        <f>AND(#REF!,"AAAAAHXbS1g=")</f>
        <v>#REF!</v>
      </c>
      <c r="CL7" t="e">
        <f>AND(#REF!,"AAAAAHXbS1k=")</f>
        <v>#REF!</v>
      </c>
      <c r="CM7" t="e">
        <f>AND(#REF!,"AAAAAHXbS1o=")</f>
        <v>#REF!</v>
      </c>
      <c r="CN7" t="e">
        <f>AND(#REF!,"AAAAAHXbS1s=")</f>
        <v>#REF!</v>
      </c>
      <c r="CO7" t="e">
        <f>AND(#REF!,"AAAAAHXbS1w=")</f>
        <v>#REF!</v>
      </c>
      <c r="CP7" t="e">
        <f>AND(#REF!,"AAAAAHXbS10=")</f>
        <v>#REF!</v>
      </c>
      <c r="CQ7" t="e">
        <f>AND(#REF!,"AAAAAHXbS14=")</f>
        <v>#REF!</v>
      </c>
      <c r="CR7" t="e">
        <f>AND(#REF!,"AAAAAHXbS18=")</f>
        <v>#REF!</v>
      </c>
      <c r="CS7" t="e">
        <f>AND(#REF!,"AAAAAHXbS2A=")</f>
        <v>#REF!</v>
      </c>
      <c r="CT7" t="e">
        <f>AND(#REF!,"AAAAAHXbS2E=")</f>
        <v>#REF!</v>
      </c>
      <c r="CU7" t="e">
        <f>AND(#REF!,"AAAAAHXbS2I=")</f>
        <v>#REF!</v>
      </c>
      <c r="CV7" t="e">
        <f>AND(#REF!,"AAAAAHXbS2M=")</f>
        <v>#REF!</v>
      </c>
      <c r="CW7" t="e">
        <f>AND(#REF!,"AAAAAHXbS2Q=")</f>
        <v>#REF!</v>
      </c>
      <c r="CX7" t="e">
        <f>AND(#REF!,"AAAAAHXbS2U=")</f>
        <v>#REF!</v>
      </c>
      <c r="CY7" t="e">
        <f>AND(#REF!,"AAAAAHXbS2Y=")</f>
        <v>#REF!</v>
      </c>
      <c r="CZ7" t="e">
        <f>AND(#REF!,"AAAAAHXbS2c=")</f>
        <v>#REF!</v>
      </c>
      <c r="DA7" t="e">
        <f>IF(#REF!,"AAAAAHXbS2g=",0)</f>
        <v>#REF!</v>
      </c>
      <c r="DB7" t="e">
        <f>AND(#REF!,"AAAAAHXbS2k=")</f>
        <v>#REF!</v>
      </c>
      <c r="DC7" t="e">
        <f>AND(#REF!,"AAAAAHXbS2o=")</f>
        <v>#REF!</v>
      </c>
      <c r="DD7" t="e">
        <f>AND(#REF!,"AAAAAHXbS2s=")</f>
        <v>#REF!</v>
      </c>
      <c r="DE7" t="e">
        <f>AND(#REF!,"AAAAAHXbS2w=")</f>
        <v>#REF!</v>
      </c>
      <c r="DF7" t="e">
        <f>AND(#REF!,"AAAAAHXbS20=")</f>
        <v>#REF!</v>
      </c>
      <c r="DG7" t="e">
        <f>AND(#REF!,"AAAAAHXbS24=")</f>
        <v>#REF!</v>
      </c>
      <c r="DH7" t="e">
        <f>AND(#REF!,"AAAAAHXbS28=")</f>
        <v>#REF!</v>
      </c>
      <c r="DI7" t="e">
        <f>AND(#REF!,"AAAAAHXbS3A=")</f>
        <v>#REF!</v>
      </c>
      <c r="DJ7" t="e">
        <f>AND(#REF!,"AAAAAHXbS3E=")</f>
        <v>#REF!</v>
      </c>
      <c r="DK7" t="e">
        <f>AND(#REF!,"AAAAAHXbS3I=")</f>
        <v>#REF!</v>
      </c>
      <c r="DL7" t="e">
        <f>AND(#REF!,"AAAAAHXbS3M=")</f>
        <v>#REF!</v>
      </c>
      <c r="DM7" t="e">
        <f>AND(#REF!,"AAAAAHXbS3Q=")</f>
        <v>#REF!</v>
      </c>
      <c r="DN7" t="e">
        <f>AND(#REF!,"AAAAAHXbS3U=")</f>
        <v>#REF!</v>
      </c>
      <c r="DO7" t="e">
        <f>AND(#REF!,"AAAAAHXbS3Y=")</f>
        <v>#REF!</v>
      </c>
      <c r="DP7" t="e">
        <f>AND(#REF!,"AAAAAHXbS3c=")</f>
        <v>#REF!</v>
      </c>
      <c r="DQ7" t="e">
        <f>AND(#REF!,"AAAAAHXbS3g=")</f>
        <v>#REF!</v>
      </c>
      <c r="DR7" t="e">
        <f>AND(#REF!,"AAAAAHXbS3k=")</f>
        <v>#REF!</v>
      </c>
      <c r="DS7" t="e">
        <f>AND(#REF!,"AAAAAHXbS3o=")</f>
        <v>#REF!</v>
      </c>
      <c r="DT7" t="e">
        <f>AND(#REF!,"AAAAAHXbS3s=")</f>
        <v>#REF!</v>
      </c>
      <c r="DU7" t="e">
        <f>AND(#REF!,"AAAAAHXbS3w=")</f>
        <v>#REF!</v>
      </c>
      <c r="DV7" t="e">
        <f>AND(#REF!,"AAAAAHXbS30=")</f>
        <v>#REF!</v>
      </c>
      <c r="DW7" t="e">
        <f>AND(#REF!,"AAAAAHXbS34=")</f>
        <v>#REF!</v>
      </c>
      <c r="DX7" t="e">
        <f>IF(#REF!,"AAAAAHXbS38=",0)</f>
        <v>#REF!</v>
      </c>
      <c r="DY7" t="e">
        <f>AND(#REF!,"AAAAAHXbS4A=")</f>
        <v>#REF!</v>
      </c>
      <c r="DZ7" t="e">
        <f>AND(#REF!,"AAAAAHXbS4E=")</f>
        <v>#REF!</v>
      </c>
      <c r="EA7" t="e">
        <f>AND(#REF!,"AAAAAHXbS4I=")</f>
        <v>#REF!</v>
      </c>
      <c r="EB7" t="e">
        <f>AND(#REF!,"AAAAAHXbS4M=")</f>
        <v>#REF!</v>
      </c>
      <c r="EC7" t="e">
        <f>AND(#REF!,"AAAAAHXbS4Q=")</f>
        <v>#REF!</v>
      </c>
      <c r="ED7" t="e">
        <f>AND(#REF!,"AAAAAHXbS4U=")</f>
        <v>#REF!</v>
      </c>
      <c r="EE7" t="e">
        <f>AND(#REF!,"AAAAAHXbS4Y=")</f>
        <v>#REF!</v>
      </c>
      <c r="EF7" t="e">
        <f>AND(#REF!,"AAAAAHXbS4c=")</f>
        <v>#REF!</v>
      </c>
      <c r="EG7" t="e">
        <f>AND(#REF!,"AAAAAHXbS4g=")</f>
        <v>#REF!</v>
      </c>
      <c r="EH7" t="e">
        <f>AND(#REF!,"AAAAAHXbS4k=")</f>
        <v>#REF!</v>
      </c>
      <c r="EI7" t="e">
        <f>AND(#REF!,"AAAAAHXbS4o=")</f>
        <v>#REF!</v>
      </c>
      <c r="EJ7" t="e">
        <f>AND(#REF!,"AAAAAHXbS4s=")</f>
        <v>#REF!</v>
      </c>
      <c r="EK7" t="e">
        <f>AND(#REF!,"AAAAAHXbS4w=")</f>
        <v>#REF!</v>
      </c>
      <c r="EL7" t="e">
        <f>AND(#REF!,"AAAAAHXbS40=")</f>
        <v>#REF!</v>
      </c>
      <c r="EM7" t="e">
        <f>AND(#REF!,"AAAAAHXbS44=")</f>
        <v>#REF!</v>
      </c>
      <c r="EN7" t="e">
        <f>AND(#REF!,"AAAAAHXbS48=")</f>
        <v>#REF!</v>
      </c>
      <c r="EO7" t="e">
        <f>AND(#REF!,"AAAAAHXbS5A=")</f>
        <v>#REF!</v>
      </c>
      <c r="EP7" t="e">
        <f>AND(#REF!,"AAAAAHXbS5E=")</f>
        <v>#REF!</v>
      </c>
      <c r="EQ7" t="e">
        <f>AND(#REF!,"AAAAAHXbS5I=")</f>
        <v>#REF!</v>
      </c>
      <c r="ER7" t="e">
        <f>AND(#REF!,"AAAAAHXbS5M=")</f>
        <v>#REF!</v>
      </c>
      <c r="ES7" t="e">
        <f>AND(#REF!,"AAAAAHXbS5Q=")</f>
        <v>#REF!</v>
      </c>
      <c r="ET7" t="e">
        <f>AND(#REF!,"AAAAAHXbS5U=")</f>
        <v>#REF!</v>
      </c>
      <c r="EU7" t="e">
        <f>IF(#REF!,"AAAAAHXbS5Y=",0)</f>
        <v>#REF!</v>
      </c>
      <c r="EV7" t="e">
        <f>AND(#REF!,"AAAAAHXbS5c=")</f>
        <v>#REF!</v>
      </c>
      <c r="EW7" t="e">
        <f>AND(#REF!,"AAAAAHXbS5g=")</f>
        <v>#REF!</v>
      </c>
      <c r="EX7" t="e">
        <f>AND(#REF!,"AAAAAHXbS5k=")</f>
        <v>#REF!</v>
      </c>
      <c r="EY7" t="e">
        <f>AND(#REF!,"AAAAAHXbS5o=")</f>
        <v>#REF!</v>
      </c>
      <c r="EZ7" t="e">
        <f>AND(#REF!,"AAAAAHXbS5s=")</f>
        <v>#REF!</v>
      </c>
      <c r="FA7" t="e">
        <f>AND(#REF!,"AAAAAHXbS5w=")</f>
        <v>#REF!</v>
      </c>
      <c r="FB7" t="e">
        <f>AND(#REF!,"AAAAAHXbS50=")</f>
        <v>#REF!</v>
      </c>
      <c r="FC7" t="e">
        <f>AND(#REF!,"AAAAAHXbS54=")</f>
        <v>#REF!</v>
      </c>
      <c r="FD7" t="e">
        <f>AND(#REF!,"AAAAAHXbS58=")</f>
        <v>#REF!</v>
      </c>
      <c r="FE7" t="e">
        <f>AND(#REF!,"AAAAAHXbS6A=")</f>
        <v>#REF!</v>
      </c>
      <c r="FF7" t="e">
        <f>AND(#REF!,"AAAAAHXbS6E=")</f>
        <v>#REF!</v>
      </c>
      <c r="FG7" t="e">
        <f>AND(#REF!,"AAAAAHXbS6I=")</f>
        <v>#REF!</v>
      </c>
      <c r="FH7" t="e">
        <f>AND(#REF!,"AAAAAHXbS6M=")</f>
        <v>#REF!</v>
      </c>
      <c r="FI7" t="e">
        <f>AND(#REF!,"AAAAAHXbS6Q=")</f>
        <v>#REF!</v>
      </c>
      <c r="FJ7" t="e">
        <f>AND(#REF!,"AAAAAHXbS6U=")</f>
        <v>#REF!</v>
      </c>
      <c r="FK7" t="e">
        <f>AND(#REF!,"AAAAAHXbS6Y=")</f>
        <v>#REF!</v>
      </c>
      <c r="FL7" t="e">
        <f>AND(#REF!,"AAAAAHXbS6c=")</f>
        <v>#REF!</v>
      </c>
      <c r="FM7" t="e">
        <f>AND(#REF!,"AAAAAHXbS6g=")</f>
        <v>#REF!</v>
      </c>
      <c r="FN7" t="e">
        <f>AND(#REF!,"AAAAAHXbS6k=")</f>
        <v>#REF!</v>
      </c>
      <c r="FO7" t="e">
        <f>AND(#REF!,"AAAAAHXbS6o=")</f>
        <v>#REF!</v>
      </c>
      <c r="FP7" t="e">
        <f>AND(#REF!,"AAAAAHXbS6s=")</f>
        <v>#REF!</v>
      </c>
      <c r="FQ7" t="e">
        <f>AND(#REF!,"AAAAAHXbS6w=")</f>
        <v>#REF!</v>
      </c>
      <c r="FR7" t="e">
        <f>IF(#REF!,"AAAAAHXbS60=",0)</f>
        <v>#REF!</v>
      </c>
      <c r="FS7" t="e">
        <f>AND(#REF!,"AAAAAHXbS64=")</f>
        <v>#REF!</v>
      </c>
      <c r="FT7" t="e">
        <f>AND(#REF!,"AAAAAHXbS68=")</f>
        <v>#REF!</v>
      </c>
      <c r="FU7" t="e">
        <f>AND(#REF!,"AAAAAHXbS7A=")</f>
        <v>#REF!</v>
      </c>
      <c r="FV7" t="e">
        <f>AND(#REF!,"AAAAAHXbS7E=")</f>
        <v>#REF!</v>
      </c>
      <c r="FW7" t="e">
        <f>AND(#REF!,"AAAAAHXbS7I=")</f>
        <v>#REF!</v>
      </c>
      <c r="FX7" t="e">
        <f>AND(#REF!,"AAAAAHXbS7M=")</f>
        <v>#REF!</v>
      </c>
      <c r="FY7" t="e">
        <f>AND(#REF!,"AAAAAHXbS7Q=")</f>
        <v>#REF!</v>
      </c>
      <c r="FZ7" t="e">
        <f>AND(#REF!,"AAAAAHXbS7U=")</f>
        <v>#REF!</v>
      </c>
      <c r="GA7" t="e">
        <f>AND(#REF!,"AAAAAHXbS7Y=")</f>
        <v>#REF!</v>
      </c>
      <c r="GB7" t="e">
        <f>AND(#REF!,"AAAAAHXbS7c=")</f>
        <v>#REF!</v>
      </c>
      <c r="GC7" t="e">
        <f>AND(#REF!,"AAAAAHXbS7g=")</f>
        <v>#REF!</v>
      </c>
      <c r="GD7" t="e">
        <f>AND(#REF!,"AAAAAHXbS7k=")</f>
        <v>#REF!</v>
      </c>
      <c r="GE7" t="e">
        <f>AND(#REF!,"AAAAAHXbS7o=")</f>
        <v>#REF!</v>
      </c>
      <c r="GF7" t="e">
        <f>AND(#REF!,"AAAAAHXbS7s=")</f>
        <v>#REF!</v>
      </c>
      <c r="GG7" t="e">
        <f>AND(#REF!,"AAAAAHXbS7w=")</f>
        <v>#REF!</v>
      </c>
      <c r="GH7" t="e">
        <f>AND(#REF!,"AAAAAHXbS70=")</f>
        <v>#REF!</v>
      </c>
      <c r="GI7" t="e">
        <f>AND(#REF!,"AAAAAHXbS74=")</f>
        <v>#REF!</v>
      </c>
      <c r="GJ7" t="e">
        <f>AND(#REF!,"AAAAAHXbS78=")</f>
        <v>#REF!</v>
      </c>
      <c r="GK7" t="e">
        <f>AND(#REF!,"AAAAAHXbS8A=")</f>
        <v>#REF!</v>
      </c>
      <c r="GL7" t="e">
        <f>AND(#REF!,"AAAAAHXbS8E=")</f>
        <v>#REF!</v>
      </c>
      <c r="GM7" t="e">
        <f>AND(#REF!,"AAAAAHXbS8I=")</f>
        <v>#REF!</v>
      </c>
      <c r="GN7" t="e">
        <f>AND(#REF!,"AAAAAHXbS8M=")</f>
        <v>#REF!</v>
      </c>
      <c r="GO7" t="e">
        <f>IF(#REF!,"AAAAAHXbS8Q=",0)</f>
        <v>#REF!</v>
      </c>
      <c r="GP7" t="e">
        <f>AND(#REF!,"AAAAAHXbS8U=")</f>
        <v>#REF!</v>
      </c>
      <c r="GQ7" t="e">
        <f>AND(#REF!,"AAAAAHXbS8Y=")</f>
        <v>#REF!</v>
      </c>
      <c r="GR7" t="e">
        <f>AND(#REF!,"AAAAAHXbS8c=")</f>
        <v>#REF!</v>
      </c>
      <c r="GS7" t="e">
        <f>AND(#REF!,"AAAAAHXbS8g=")</f>
        <v>#REF!</v>
      </c>
      <c r="GT7" t="e">
        <f>AND(#REF!,"AAAAAHXbS8k=")</f>
        <v>#REF!</v>
      </c>
      <c r="GU7" t="e">
        <f>AND(#REF!,"AAAAAHXbS8o=")</f>
        <v>#REF!</v>
      </c>
      <c r="GV7" t="e">
        <f>AND(#REF!,"AAAAAHXbS8s=")</f>
        <v>#REF!</v>
      </c>
      <c r="GW7" t="e">
        <f>AND(#REF!,"AAAAAHXbS8w=")</f>
        <v>#REF!</v>
      </c>
      <c r="GX7" t="e">
        <f>AND(#REF!,"AAAAAHXbS80=")</f>
        <v>#REF!</v>
      </c>
      <c r="GY7" t="e">
        <f>AND(#REF!,"AAAAAHXbS84=")</f>
        <v>#REF!</v>
      </c>
      <c r="GZ7" t="e">
        <f>AND(#REF!,"AAAAAHXbS88=")</f>
        <v>#REF!</v>
      </c>
      <c r="HA7" t="e">
        <f>AND(#REF!,"AAAAAHXbS9A=")</f>
        <v>#REF!</v>
      </c>
      <c r="HB7" t="e">
        <f>AND(#REF!,"AAAAAHXbS9E=")</f>
        <v>#REF!</v>
      </c>
      <c r="HC7" t="e">
        <f>AND(#REF!,"AAAAAHXbS9I=")</f>
        <v>#REF!</v>
      </c>
      <c r="HD7" t="e">
        <f>AND(#REF!,"AAAAAHXbS9M=")</f>
        <v>#REF!</v>
      </c>
      <c r="HE7" t="e">
        <f>AND(#REF!,"AAAAAHXbS9Q=")</f>
        <v>#REF!</v>
      </c>
      <c r="HF7" t="e">
        <f>AND(#REF!,"AAAAAHXbS9U=")</f>
        <v>#REF!</v>
      </c>
      <c r="HG7" t="e">
        <f>AND(#REF!,"AAAAAHXbS9Y=")</f>
        <v>#REF!</v>
      </c>
      <c r="HH7" t="e">
        <f>AND(#REF!,"AAAAAHXbS9c=")</f>
        <v>#REF!</v>
      </c>
      <c r="HI7" t="e">
        <f>AND(#REF!,"AAAAAHXbS9g=")</f>
        <v>#REF!</v>
      </c>
      <c r="HJ7" t="e">
        <f>AND(#REF!,"AAAAAHXbS9k=")</f>
        <v>#REF!</v>
      </c>
      <c r="HK7" t="e">
        <f>AND(#REF!,"AAAAAHXbS9o=")</f>
        <v>#REF!</v>
      </c>
      <c r="HL7" t="e">
        <f>IF(#REF!,"AAAAAHXbS9s=",0)</f>
        <v>#REF!</v>
      </c>
      <c r="HM7" t="e">
        <f>AND(#REF!,"AAAAAHXbS9w=")</f>
        <v>#REF!</v>
      </c>
      <c r="HN7" t="e">
        <f>AND(#REF!,"AAAAAHXbS90=")</f>
        <v>#REF!</v>
      </c>
      <c r="HO7" t="e">
        <f>AND(#REF!,"AAAAAHXbS94=")</f>
        <v>#REF!</v>
      </c>
      <c r="HP7" t="e">
        <f>AND(#REF!,"AAAAAHXbS98=")</f>
        <v>#REF!</v>
      </c>
      <c r="HQ7" t="e">
        <f>AND(#REF!,"AAAAAHXbS+A=")</f>
        <v>#REF!</v>
      </c>
      <c r="HR7" t="e">
        <f>AND(#REF!,"AAAAAHXbS+E=")</f>
        <v>#REF!</v>
      </c>
      <c r="HS7" t="e">
        <f>AND(#REF!,"AAAAAHXbS+I=")</f>
        <v>#REF!</v>
      </c>
      <c r="HT7" t="e">
        <f>AND(#REF!,"AAAAAHXbS+M=")</f>
        <v>#REF!</v>
      </c>
      <c r="HU7" t="e">
        <f>AND(#REF!,"AAAAAHXbS+Q=")</f>
        <v>#REF!</v>
      </c>
      <c r="HV7" t="e">
        <f>AND(#REF!,"AAAAAHXbS+U=")</f>
        <v>#REF!</v>
      </c>
      <c r="HW7" t="e">
        <f>AND(#REF!,"AAAAAHXbS+Y=")</f>
        <v>#REF!</v>
      </c>
      <c r="HX7" t="e">
        <f>AND(#REF!,"AAAAAHXbS+c=")</f>
        <v>#REF!</v>
      </c>
      <c r="HY7" t="e">
        <f>AND(#REF!,"AAAAAHXbS+g=")</f>
        <v>#REF!</v>
      </c>
      <c r="HZ7" t="e">
        <f>AND(#REF!,"AAAAAHXbS+k=")</f>
        <v>#REF!</v>
      </c>
      <c r="IA7" t="e">
        <f>AND(#REF!,"AAAAAHXbS+o=")</f>
        <v>#REF!</v>
      </c>
      <c r="IB7" t="e">
        <f>AND(#REF!,"AAAAAHXbS+s=")</f>
        <v>#REF!</v>
      </c>
      <c r="IC7" t="e">
        <f>AND(#REF!,"AAAAAHXbS+w=")</f>
        <v>#REF!</v>
      </c>
      <c r="ID7" t="e">
        <f>AND(#REF!,"AAAAAHXbS+0=")</f>
        <v>#REF!</v>
      </c>
      <c r="IE7" t="e">
        <f>AND(#REF!,"AAAAAHXbS+4=")</f>
        <v>#REF!</v>
      </c>
      <c r="IF7" t="e">
        <f>AND(#REF!,"AAAAAHXbS+8=")</f>
        <v>#REF!</v>
      </c>
      <c r="IG7" t="e">
        <f>AND(#REF!,"AAAAAHXbS/A=")</f>
        <v>#REF!</v>
      </c>
      <c r="IH7" t="e">
        <f>AND(#REF!,"AAAAAHXbS/E=")</f>
        <v>#REF!</v>
      </c>
      <c r="II7" t="e">
        <f>IF(#REF!,"AAAAAHXbS/I=",0)</f>
        <v>#REF!</v>
      </c>
      <c r="IJ7" t="e">
        <f>AND(#REF!,"AAAAAHXbS/M=")</f>
        <v>#REF!</v>
      </c>
      <c r="IK7" t="e">
        <f>AND(#REF!,"AAAAAHXbS/Q=")</f>
        <v>#REF!</v>
      </c>
      <c r="IL7" t="e">
        <f>AND(#REF!,"AAAAAHXbS/U=")</f>
        <v>#REF!</v>
      </c>
      <c r="IM7" t="e">
        <f>AND(#REF!,"AAAAAHXbS/Y=")</f>
        <v>#REF!</v>
      </c>
      <c r="IN7" t="e">
        <f>AND(#REF!,"AAAAAHXbS/c=")</f>
        <v>#REF!</v>
      </c>
      <c r="IO7" t="e">
        <f>AND(#REF!,"AAAAAHXbS/g=")</f>
        <v>#REF!</v>
      </c>
      <c r="IP7" t="e">
        <f>AND(#REF!,"AAAAAHXbS/k=")</f>
        <v>#REF!</v>
      </c>
      <c r="IQ7" t="e">
        <f>AND(#REF!,"AAAAAHXbS/o=")</f>
        <v>#REF!</v>
      </c>
      <c r="IR7" t="e">
        <f>AND(#REF!,"AAAAAHXbS/s=")</f>
        <v>#REF!</v>
      </c>
      <c r="IS7" t="e">
        <f>AND(#REF!,"AAAAAHXbS/w=")</f>
        <v>#REF!</v>
      </c>
      <c r="IT7" t="e">
        <f>AND(#REF!,"AAAAAHXbS/0=")</f>
        <v>#REF!</v>
      </c>
      <c r="IU7" t="e">
        <f>AND(#REF!,"AAAAAHXbS/4=")</f>
        <v>#REF!</v>
      </c>
      <c r="IV7" t="e">
        <f>AND(#REF!,"AAAAAHXbS/8=")</f>
        <v>#REF!</v>
      </c>
    </row>
    <row r="8" spans="1:256" ht="15">
      <c r="A8" t="e">
        <f>AND(#REF!,"AAAAAHd3bwA=")</f>
        <v>#REF!</v>
      </c>
      <c r="B8" t="e">
        <f>AND(#REF!,"AAAAAHd3bwE=")</f>
        <v>#REF!</v>
      </c>
      <c r="C8" t="e">
        <f>AND(#REF!,"AAAAAHd3bwI=")</f>
        <v>#REF!</v>
      </c>
      <c r="D8" t="e">
        <f>AND(#REF!,"AAAAAHd3bwM=")</f>
        <v>#REF!</v>
      </c>
      <c r="E8" t="e">
        <f>AND(#REF!,"AAAAAHd3bwQ=")</f>
        <v>#REF!</v>
      </c>
      <c r="F8" t="e">
        <f>AND(#REF!,"AAAAAHd3bwU=")</f>
        <v>#REF!</v>
      </c>
      <c r="G8" t="e">
        <f>AND(#REF!,"AAAAAHd3bwY=")</f>
        <v>#REF!</v>
      </c>
      <c r="H8" t="e">
        <f>AND(#REF!,"AAAAAHd3bwc=")</f>
        <v>#REF!</v>
      </c>
      <c r="I8" t="e">
        <f>AND(#REF!,"AAAAAHd3bwg=")</f>
        <v>#REF!</v>
      </c>
      <c r="J8" t="e">
        <f>IF(#REF!,"AAAAAHd3bwk=",0)</f>
        <v>#REF!</v>
      </c>
      <c r="K8" t="e">
        <f>AND(#REF!,"AAAAAHd3bwo=")</f>
        <v>#REF!</v>
      </c>
      <c r="L8" t="e">
        <f>AND(#REF!,"AAAAAHd3bws=")</f>
        <v>#REF!</v>
      </c>
      <c r="M8" t="e">
        <f>AND(#REF!,"AAAAAHd3bww=")</f>
        <v>#REF!</v>
      </c>
      <c r="N8" t="e">
        <f>AND(#REF!,"AAAAAHd3bw0=")</f>
        <v>#REF!</v>
      </c>
      <c r="O8" t="e">
        <f>AND(#REF!,"AAAAAHd3bw4=")</f>
        <v>#REF!</v>
      </c>
      <c r="P8" t="e">
        <f>AND(#REF!,"AAAAAHd3bw8=")</f>
        <v>#REF!</v>
      </c>
      <c r="Q8" t="e">
        <f>AND(#REF!,"AAAAAHd3bxA=")</f>
        <v>#REF!</v>
      </c>
      <c r="R8" t="e">
        <f>AND(#REF!,"AAAAAHd3bxE=")</f>
        <v>#REF!</v>
      </c>
      <c r="S8" t="e">
        <f>AND(#REF!,"AAAAAHd3bxI=")</f>
        <v>#REF!</v>
      </c>
      <c r="T8" t="e">
        <f>AND(#REF!,"AAAAAHd3bxM=")</f>
        <v>#REF!</v>
      </c>
      <c r="U8" t="e">
        <f>AND(#REF!,"AAAAAHd3bxQ=")</f>
        <v>#REF!</v>
      </c>
      <c r="V8" t="e">
        <f>AND(#REF!,"AAAAAHd3bxU=")</f>
        <v>#REF!</v>
      </c>
      <c r="W8" t="e">
        <f>AND(#REF!,"AAAAAHd3bxY=")</f>
        <v>#REF!</v>
      </c>
      <c r="X8" t="e">
        <f>AND(#REF!,"AAAAAHd3bxc=")</f>
        <v>#REF!</v>
      </c>
      <c r="Y8" t="e">
        <f>AND(#REF!,"AAAAAHd3bxg=")</f>
        <v>#REF!</v>
      </c>
      <c r="Z8" t="e">
        <f>AND(#REF!,"AAAAAHd3bxk=")</f>
        <v>#REF!</v>
      </c>
      <c r="AA8" t="e">
        <f>AND(#REF!,"AAAAAHd3bxo=")</f>
        <v>#REF!</v>
      </c>
      <c r="AB8" t="e">
        <f>AND(#REF!,"AAAAAHd3bxs=")</f>
        <v>#REF!</v>
      </c>
      <c r="AC8" t="e">
        <f>AND(#REF!,"AAAAAHd3bxw=")</f>
        <v>#REF!</v>
      </c>
      <c r="AD8" t="e">
        <f>AND(#REF!,"AAAAAHd3bx0=")</f>
        <v>#REF!</v>
      </c>
      <c r="AE8" t="e">
        <f>AND(#REF!,"AAAAAHd3bx4=")</f>
        <v>#REF!</v>
      </c>
      <c r="AF8" t="e">
        <f>AND(#REF!,"AAAAAHd3bx8=")</f>
        <v>#REF!</v>
      </c>
      <c r="AG8" t="e">
        <f>IF(#REF!,"AAAAAHd3byA=",0)</f>
        <v>#REF!</v>
      </c>
      <c r="AH8" t="e">
        <f>AND(#REF!,"AAAAAHd3byE=")</f>
        <v>#REF!</v>
      </c>
      <c r="AI8" t="e">
        <f>AND(#REF!,"AAAAAHd3byI=")</f>
        <v>#REF!</v>
      </c>
      <c r="AJ8" t="e">
        <f>AND(#REF!,"AAAAAHd3byM=")</f>
        <v>#REF!</v>
      </c>
      <c r="AK8" t="e">
        <f>AND(#REF!,"AAAAAHd3byQ=")</f>
        <v>#REF!</v>
      </c>
      <c r="AL8" t="e">
        <f>AND(#REF!,"AAAAAHd3byU=")</f>
        <v>#REF!</v>
      </c>
      <c r="AM8" t="e">
        <f>AND(#REF!,"AAAAAHd3byY=")</f>
        <v>#REF!</v>
      </c>
      <c r="AN8" t="e">
        <f>AND(#REF!,"AAAAAHd3byc=")</f>
        <v>#REF!</v>
      </c>
      <c r="AO8" t="e">
        <f>AND(#REF!,"AAAAAHd3byg=")</f>
        <v>#REF!</v>
      </c>
      <c r="AP8" t="e">
        <f>AND(#REF!,"AAAAAHd3byk=")</f>
        <v>#REF!</v>
      </c>
      <c r="AQ8" t="e">
        <f>AND(#REF!,"AAAAAHd3byo=")</f>
        <v>#REF!</v>
      </c>
      <c r="AR8" t="e">
        <f>AND(#REF!,"AAAAAHd3bys=")</f>
        <v>#REF!</v>
      </c>
      <c r="AS8" t="e">
        <f>AND(#REF!,"AAAAAHd3byw=")</f>
        <v>#REF!</v>
      </c>
      <c r="AT8" t="e">
        <f>AND(#REF!,"AAAAAHd3by0=")</f>
        <v>#REF!</v>
      </c>
      <c r="AU8" t="e">
        <f>AND(#REF!,"AAAAAHd3by4=")</f>
        <v>#REF!</v>
      </c>
      <c r="AV8" t="e">
        <f>AND(#REF!,"AAAAAHd3by8=")</f>
        <v>#REF!</v>
      </c>
      <c r="AW8" t="e">
        <f>AND(#REF!,"AAAAAHd3bzA=")</f>
        <v>#REF!</v>
      </c>
      <c r="AX8" t="e">
        <f>AND(#REF!,"AAAAAHd3bzE=")</f>
        <v>#REF!</v>
      </c>
      <c r="AY8" t="e">
        <f>AND(#REF!,"AAAAAHd3bzI=")</f>
        <v>#REF!</v>
      </c>
      <c r="AZ8" t="e">
        <f>AND(#REF!,"AAAAAHd3bzM=")</f>
        <v>#REF!</v>
      </c>
      <c r="BA8" t="e">
        <f>AND(#REF!,"AAAAAHd3bzQ=")</f>
        <v>#REF!</v>
      </c>
      <c r="BB8" t="e">
        <f>AND(#REF!,"AAAAAHd3bzU=")</f>
        <v>#REF!</v>
      </c>
      <c r="BC8" t="e">
        <f>AND(#REF!,"AAAAAHd3bzY=")</f>
        <v>#REF!</v>
      </c>
      <c r="BD8" t="e">
        <f>IF(#REF!,"AAAAAHd3bzc=",0)</f>
        <v>#REF!</v>
      </c>
      <c r="BE8" t="e">
        <f>AND(#REF!,"AAAAAHd3bzg=")</f>
        <v>#REF!</v>
      </c>
      <c r="BF8" t="e">
        <f>AND(#REF!,"AAAAAHd3bzk=")</f>
        <v>#REF!</v>
      </c>
      <c r="BG8" t="e">
        <f>AND(#REF!,"AAAAAHd3bzo=")</f>
        <v>#REF!</v>
      </c>
      <c r="BH8" t="e">
        <f>AND(#REF!,"AAAAAHd3bzs=")</f>
        <v>#REF!</v>
      </c>
      <c r="BI8" t="e">
        <f>AND(#REF!,"AAAAAHd3bzw=")</f>
        <v>#REF!</v>
      </c>
      <c r="BJ8" t="e">
        <f>AND(#REF!,"AAAAAHd3bz0=")</f>
        <v>#REF!</v>
      </c>
      <c r="BK8" t="e">
        <f>AND(#REF!,"AAAAAHd3bz4=")</f>
        <v>#REF!</v>
      </c>
      <c r="BL8" t="e">
        <f>AND(#REF!,"AAAAAHd3bz8=")</f>
        <v>#REF!</v>
      </c>
      <c r="BM8" t="e">
        <f>AND(#REF!,"AAAAAHd3b0A=")</f>
        <v>#REF!</v>
      </c>
      <c r="BN8" t="e">
        <f>AND(#REF!,"AAAAAHd3b0E=")</f>
        <v>#REF!</v>
      </c>
      <c r="BO8" t="e">
        <f>AND(#REF!,"AAAAAHd3b0I=")</f>
        <v>#REF!</v>
      </c>
      <c r="BP8" t="e">
        <f>AND(#REF!,"AAAAAHd3b0M=")</f>
        <v>#REF!</v>
      </c>
      <c r="BQ8" t="e">
        <f>AND(#REF!,"AAAAAHd3b0Q=")</f>
        <v>#REF!</v>
      </c>
      <c r="BR8" t="e">
        <f>AND(#REF!,"AAAAAHd3b0U=")</f>
        <v>#REF!</v>
      </c>
      <c r="BS8" t="e">
        <f>AND(#REF!,"AAAAAHd3b0Y=")</f>
        <v>#REF!</v>
      </c>
      <c r="BT8" t="e">
        <f>AND(#REF!,"AAAAAHd3b0c=")</f>
        <v>#REF!</v>
      </c>
      <c r="BU8" t="e">
        <f>AND(#REF!,"AAAAAHd3b0g=")</f>
        <v>#REF!</v>
      </c>
      <c r="BV8" t="e">
        <f>AND(#REF!,"AAAAAHd3b0k=")</f>
        <v>#REF!</v>
      </c>
      <c r="BW8" t="e">
        <f>AND(#REF!,"AAAAAHd3b0o=")</f>
        <v>#REF!</v>
      </c>
      <c r="BX8" t="e">
        <f>AND(#REF!,"AAAAAHd3b0s=")</f>
        <v>#REF!</v>
      </c>
      <c r="BY8" t="e">
        <f>AND(#REF!,"AAAAAHd3b0w=")</f>
        <v>#REF!</v>
      </c>
      <c r="BZ8" t="e">
        <f>AND(#REF!,"AAAAAHd3b00=")</f>
        <v>#REF!</v>
      </c>
      <c r="CA8" t="e">
        <f>IF(#REF!,"AAAAAHd3b04=",0)</f>
        <v>#REF!</v>
      </c>
      <c r="CB8" t="e">
        <f>AND(#REF!,"AAAAAHd3b08=")</f>
        <v>#REF!</v>
      </c>
      <c r="CC8" t="e">
        <f>AND(#REF!,"AAAAAHd3b1A=")</f>
        <v>#REF!</v>
      </c>
      <c r="CD8" t="e">
        <f>AND(#REF!,"AAAAAHd3b1E=")</f>
        <v>#REF!</v>
      </c>
      <c r="CE8" t="e">
        <f>AND(#REF!,"AAAAAHd3b1I=")</f>
        <v>#REF!</v>
      </c>
      <c r="CF8" t="e">
        <f>AND(#REF!,"AAAAAHd3b1M=")</f>
        <v>#REF!</v>
      </c>
      <c r="CG8" t="e">
        <f>AND(#REF!,"AAAAAHd3b1Q=")</f>
        <v>#REF!</v>
      </c>
      <c r="CH8" t="e">
        <f>AND(#REF!,"AAAAAHd3b1U=")</f>
        <v>#REF!</v>
      </c>
      <c r="CI8" t="e">
        <f>AND(#REF!,"AAAAAHd3b1Y=")</f>
        <v>#REF!</v>
      </c>
      <c r="CJ8" t="e">
        <f>AND(#REF!,"AAAAAHd3b1c=")</f>
        <v>#REF!</v>
      </c>
      <c r="CK8" t="e">
        <f>AND(#REF!,"AAAAAHd3b1g=")</f>
        <v>#REF!</v>
      </c>
      <c r="CL8" t="e">
        <f>AND(#REF!,"AAAAAHd3b1k=")</f>
        <v>#REF!</v>
      </c>
      <c r="CM8" t="e">
        <f>AND(#REF!,"AAAAAHd3b1o=")</f>
        <v>#REF!</v>
      </c>
      <c r="CN8" t="e">
        <f>AND(#REF!,"AAAAAHd3b1s=")</f>
        <v>#REF!</v>
      </c>
      <c r="CO8" t="e">
        <f>AND(#REF!,"AAAAAHd3b1w=")</f>
        <v>#REF!</v>
      </c>
      <c r="CP8" t="e">
        <f>AND(#REF!,"AAAAAHd3b10=")</f>
        <v>#REF!</v>
      </c>
      <c r="CQ8" t="e">
        <f>AND(#REF!,"AAAAAHd3b14=")</f>
        <v>#REF!</v>
      </c>
      <c r="CR8" t="e">
        <f>AND(#REF!,"AAAAAHd3b18=")</f>
        <v>#REF!</v>
      </c>
      <c r="CS8" t="e">
        <f>AND(#REF!,"AAAAAHd3b2A=")</f>
        <v>#REF!</v>
      </c>
      <c r="CT8" t="e">
        <f>AND(#REF!,"AAAAAHd3b2E=")</f>
        <v>#REF!</v>
      </c>
      <c r="CU8" t="e">
        <f>AND(#REF!,"AAAAAHd3b2I=")</f>
        <v>#REF!</v>
      </c>
      <c r="CV8" t="e">
        <f>AND(#REF!,"AAAAAHd3b2M=")</f>
        <v>#REF!</v>
      </c>
      <c r="CW8" t="e">
        <f>AND(#REF!,"AAAAAHd3b2Q=")</f>
        <v>#REF!</v>
      </c>
      <c r="CX8" t="e">
        <f>IF(#REF!,"AAAAAHd3b2U=",0)</f>
        <v>#REF!</v>
      </c>
      <c r="CY8" t="e">
        <f>AND(#REF!,"AAAAAHd3b2Y=")</f>
        <v>#REF!</v>
      </c>
      <c r="CZ8" t="e">
        <f>AND(#REF!,"AAAAAHd3b2c=")</f>
        <v>#REF!</v>
      </c>
      <c r="DA8" t="e">
        <f>AND(#REF!,"AAAAAHd3b2g=")</f>
        <v>#REF!</v>
      </c>
      <c r="DB8" t="e">
        <f>AND(#REF!,"AAAAAHd3b2k=")</f>
        <v>#REF!</v>
      </c>
      <c r="DC8" t="e">
        <f>AND(#REF!,"AAAAAHd3b2o=")</f>
        <v>#REF!</v>
      </c>
      <c r="DD8" t="e">
        <f>AND(#REF!,"AAAAAHd3b2s=")</f>
        <v>#REF!</v>
      </c>
      <c r="DE8" t="e">
        <f>AND(#REF!,"AAAAAHd3b2w=")</f>
        <v>#REF!</v>
      </c>
      <c r="DF8" t="e">
        <f>AND(#REF!,"AAAAAHd3b20=")</f>
        <v>#REF!</v>
      </c>
      <c r="DG8" t="e">
        <f>AND(#REF!,"AAAAAHd3b24=")</f>
        <v>#REF!</v>
      </c>
      <c r="DH8" t="e">
        <f>AND(#REF!,"AAAAAHd3b28=")</f>
        <v>#REF!</v>
      </c>
      <c r="DI8" t="e">
        <f>AND(#REF!,"AAAAAHd3b3A=")</f>
        <v>#REF!</v>
      </c>
      <c r="DJ8" t="e">
        <f>AND(#REF!,"AAAAAHd3b3E=")</f>
        <v>#REF!</v>
      </c>
      <c r="DK8" t="e">
        <f>AND(#REF!,"AAAAAHd3b3I=")</f>
        <v>#REF!</v>
      </c>
      <c r="DL8" t="e">
        <f>AND(#REF!,"AAAAAHd3b3M=")</f>
        <v>#REF!</v>
      </c>
      <c r="DM8" t="e">
        <f>AND(#REF!,"AAAAAHd3b3Q=")</f>
        <v>#REF!</v>
      </c>
      <c r="DN8" t="e">
        <f>AND(#REF!,"AAAAAHd3b3U=")</f>
        <v>#REF!</v>
      </c>
      <c r="DO8" t="e">
        <f>AND(#REF!,"AAAAAHd3b3Y=")</f>
        <v>#REF!</v>
      </c>
      <c r="DP8" t="e">
        <f>AND(#REF!,"AAAAAHd3b3c=")</f>
        <v>#REF!</v>
      </c>
      <c r="DQ8" t="e">
        <f>AND(#REF!,"AAAAAHd3b3g=")</f>
        <v>#REF!</v>
      </c>
      <c r="DR8" t="e">
        <f>AND(#REF!,"AAAAAHd3b3k=")</f>
        <v>#REF!</v>
      </c>
      <c r="DS8" t="e">
        <f>AND(#REF!,"AAAAAHd3b3o=")</f>
        <v>#REF!</v>
      </c>
      <c r="DT8" t="e">
        <f>AND(#REF!,"AAAAAHd3b3s=")</f>
        <v>#REF!</v>
      </c>
      <c r="DU8" t="e">
        <f>IF(#REF!,"AAAAAHd3b3w=",0)</f>
        <v>#REF!</v>
      </c>
      <c r="DV8" t="e">
        <f>AND(#REF!,"AAAAAHd3b30=")</f>
        <v>#REF!</v>
      </c>
      <c r="DW8" t="e">
        <f>AND(#REF!,"AAAAAHd3b34=")</f>
        <v>#REF!</v>
      </c>
      <c r="DX8" t="e">
        <f>AND(#REF!,"AAAAAHd3b38=")</f>
        <v>#REF!</v>
      </c>
      <c r="DY8" t="e">
        <f>AND(#REF!,"AAAAAHd3b4A=")</f>
        <v>#REF!</v>
      </c>
      <c r="DZ8" t="e">
        <f>AND(#REF!,"AAAAAHd3b4E=")</f>
        <v>#REF!</v>
      </c>
      <c r="EA8" t="e">
        <f>AND(#REF!,"AAAAAHd3b4I=")</f>
        <v>#REF!</v>
      </c>
      <c r="EB8" t="e">
        <f>AND(#REF!,"AAAAAHd3b4M=")</f>
        <v>#REF!</v>
      </c>
      <c r="EC8" t="e">
        <f>AND(#REF!,"AAAAAHd3b4Q=")</f>
        <v>#REF!</v>
      </c>
      <c r="ED8" t="e">
        <f>AND(#REF!,"AAAAAHd3b4U=")</f>
        <v>#REF!</v>
      </c>
      <c r="EE8" t="e">
        <f>AND(#REF!,"AAAAAHd3b4Y=")</f>
        <v>#REF!</v>
      </c>
      <c r="EF8" t="e">
        <f>AND(#REF!,"AAAAAHd3b4c=")</f>
        <v>#REF!</v>
      </c>
      <c r="EG8" t="e">
        <f>AND(#REF!,"AAAAAHd3b4g=")</f>
        <v>#REF!</v>
      </c>
      <c r="EH8" t="e">
        <f>AND(#REF!,"AAAAAHd3b4k=")</f>
        <v>#REF!</v>
      </c>
      <c r="EI8" t="e">
        <f>AND(#REF!,"AAAAAHd3b4o=")</f>
        <v>#REF!</v>
      </c>
      <c r="EJ8" t="e">
        <f>AND(#REF!,"AAAAAHd3b4s=")</f>
        <v>#REF!</v>
      </c>
      <c r="EK8" t="e">
        <f>AND(#REF!,"AAAAAHd3b4w=")</f>
        <v>#REF!</v>
      </c>
      <c r="EL8" t="e">
        <f>AND(#REF!,"AAAAAHd3b40=")</f>
        <v>#REF!</v>
      </c>
      <c r="EM8" t="e">
        <f>AND(#REF!,"AAAAAHd3b44=")</f>
        <v>#REF!</v>
      </c>
      <c r="EN8" t="e">
        <f>AND(#REF!,"AAAAAHd3b48=")</f>
        <v>#REF!</v>
      </c>
      <c r="EO8" t="e">
        <f>AND(#REF!,"AAAAAHd3b5A=")</f>
        <v>#REF!</v>
      </c>
      <c r="EP8" t="e">
        <f>AND(#REF!,"AAAAAHd3b5E=")</f>
        <v>#REF!</v>
      </c>
      <c r="EQ8" t="e">
        <f>AND(#REF!,"AAAAAHd3b5I=")</f>
        <v>#REF!</v>
      </c>
      <c r="ER8" t="e">
        <f>IF(#REF!,"AAAAAHd3b5M=",0)</f>
        <v>#REF!</v>
      </c>
      <c r="ES8" t="e">
        <f>AND(#REF!,"AAAAAHd3b5Q=")</f>
        <v>#REF!</v>
      </c>
      <c r="ET8" t="e">
        <f>AND(#REF!,"AAAAAHd3b5U=")</f>
        <v>#REF!</v>
      </c>
      <c r="EU8" t="e">
        <f>AND(#REF!,"AAAAAHd3b5Y=")</f>
        <v>#REF!</v>
      </c>
      <c r="EV8" t="e">
        <f>AND(#REF!,"AAAAAHd3b5c=")</f>
        <v>#REF!</v>
      </c>
      <c r="EW8" t="e">
        <f>AND(#REF!,"AAAAAHd3b5g=")</f>
        <v>#REF!</v>
      </c>
      <c r="EX8" t="e">
        <f>AND(#REF!,"AAAAAHd3b5k=")</f>
        <v>#REF!</v>
      </c>
      <c r="EY8" t="e">
        <f>AND(#REF!,"AAAAAHd3b5o=")</f>
        <v>#REF!</v>
      </c>
      <c r="EZ8" t="e">
        <f>AND(#REF!,"AAAAAHd3b5s=")</f>
        <v>#REF!</v>
      </c>
      <c r="FA8" t="e">
        <f>AND(#REF!,"AAAAAHd3b5w=")</f>
        <v>#REF!</v>
      </c>
      <c r="FB8" t="e">
        <f>AND(#REF!,"AAAAAHd3b50=")</f>
        <v>#REF!</v>
      </c>
      <c r="FC8" t="e">
        <f>AND(#REF!,"AAAAAHd3b54=")</f>
        <v>#REF!</v>
      </c>
      <c r="FD8" t="e">
        <f>AND(#REF!,"AAAAAHd3b58=")</f>
        <v>#REF!</v>
      </c>
      <c r="FE8" t="e">
        <f>AND(#REF!,"AAAAAHd3b6A=")</f>
        <v>#REF!</v>
      </c>
      <c r="FF8" t="e">
        <f>AND(#REF!,"AAAAAHd3b6E=")</f>
        <v>#REF!</v>
      </c>
      <c r="FG8" t="e">
        <f>AND(#REF!,"AAAAAHd3b6I=")</f>
        <v>#REF!</v>
      </c>
      <c r="FH8" t="e">
        <f>AND(#REF!,"AAAAAHd3b6M=")</f>
        <v>#REF!</v>
      </c>
      <c r="FI8" t="e">
        <f>AND(#REF!,"AAAAAHd3b6Q=")</f>
        <v>#REF!</v>
      </c>
      <c r="FJ8" t="e">
        <f>AND(#REF!,"AAAAAHd3b6U=")</f>
        <v>#REF!</v>
      </c>
      <c r="FK8" t="e">
        <f>AND(#REF!,"AAAAAHd3b6Y=")</f>
        <v>#REF!</v>
      </c>
      <c r="FL8" t="e">
        <f>AND(#REF!,"AAAAAHd3b6c=")</f>
        <v>#REF!</v>
      </c>
      <c r="FM8" t="e">
        <f>AND(#REF!,"AAAAAHd3b6g=")</f>
        <v>#REF!</v>
      </c>
      <c r="FN8" t="e">
        <f>AND(#REF!,"AAAAAHd3b6k=")</f>
        <v>#REF!</v>
      </c>
      <c r="FO8" t="e">
        <f>IF(#REF!,"AAAAAHd3b6o=",0)</f>
        <v>#REF!</v>
      </c>
      <c r="FP8" t="e">
        <f>AND(#REF!,"AAAAAHd3b6s=")</f>
        <v>#REF!</v>
      </c>
      <c r="FQ8" t="e">
        <f>AND(#REF!,"AAAAAHd3b6w=")</f>
        <v>#REF!</v>
      </c>
      <c r="FR8" t="e">
        <f>AND(#REF!,"AAAAAHd3b60=")</f>
        <v>#REF!</v>
      </c>
      <c r="FS8" t="e">
        <f>AND(#REF!,"AAAAAHd3b64=")</f>
        <v>#REF!</v>
      </c>
      <c r="FT8" t="e">
        <f>AND(#REF!,"AAAAAHd3b68=")</f>
        <v>#REF!</v>
      </c>
      <c r="FU8" t="e">
        <f>AND(#REF!,"AAAAAHd3b7A=")</f>
        <v>#REF!</v>
      </c>
      <c r="FV8" t="e">
        <f>AND(#REF!,"AAAAAHd3b7E=")</f>
        <v>#REF!</v>
      </c>
      <c r="FW8" t="e">
        <f>AND(#REF!,"AAAAAHd3b7I=")</f>
        <v>#REF!</v>
      </c>
      <c r="FX8" t="e">
        <f>AND(#REF!,"AAAAAHd3b7M=")</f>
        <v>#REF!</v>
      </c>
      <c r="FY8" t="e">
        <f>AND(#REF!,"AAAAAHd3b7Q=")</f>
        <v>#REF!</v>
      </c>
      <c r="FZ8" t="e">
        <f>AND(#REF!,"AAAAAHd3b7U=")</f>
        <v>#REF!</v>
      </c>
      <c r="GA8" t="e">
        <f>AND(#REF!,"AAAAAHd3b7Y=")</f>
        <v>#REF!</v>
      </c>
      <c r="GB8" t="e">
        <f>AND(#REF!,"AAAAAHd3b7c=")</f>
        <v>#REF!</v>
      </c>
      <c r="GC8" t="e">
        <f>AND(#REF!,"AAAAAHd3b7g=")</f>
        <v>#REF!</v>
      </c>
      <c r="GD8" t="e">
        <f>AND(#REF!,"AAAAAHd3b7k=")</f>
        <v>#REF!</v>
      </c>
      <c r="GE8" t="e">
        <f>AND(#REF!,"AAAAAHd3b7o=")</f>
        <v>#REF!</v>
      </c>
      <c r="GF8" t="e">
        <f>AND(#REF!,"AAAAAHd3b7s=")</f>
        <v>#REF!</v>
      </c>
      <c r="GG8" t="e">
        <f>AND(#REF!,"AAAAAHd3b7w=")</f>
        <v>#REF!</v>
      </c>
      <c r="GH8" t="e">
        <f>AND(#REF!,"AAAAAHd3b70=")</f>
        <v>#REF!</v>
      </c>
      <c r="GI8" t="e">
        <f>AND(#REF!,"AAAAAHd3b74=")</f>
        <v>#REF!</v>
      </c>
      <c r="GJ8" t="e">
        <f>AND(#REF!,"AAAAAHd3b78=")</f>
        <v>#REF!</v>
      </c>
      <c r="GK8" t="e">
        <f>AND(#REF!,"AAAAAHd3b8A=")</f>
        <v>#REF!</v>
      </c>
      <c r="GL8" t="e">
        <f>IF(#REF!,"AAAAAHd3b8E=",0)</f>
        <v>#REF!</v>
      </c>
      <c r="GM8" t="e">
        <f>AND(#REF!,"AAAAAHd3b8I=")</f>
        <v>#REF!</v>
      </c>
      <c r="GN8" t="e">
        <f>AND(#REF!,"AAAAAHd3b8M=")</f>
        <v>#REF!</v>
      </c>
      <c r="GO8" t="e">
        <f>AND(#REF!,"AAAAAHd3b8Q=")</f>
        <v>#REF!</v>
      </c>
      <c r="GP8" t="e">
        <f>AND(#REF!,"AAAAAHd3b8U=")</f>
        <v>#REF!</v>
      </c>
      <c r="GQ8" t="e">
        <f>AND(#REF!,"AAAAAHd3b8Y=")</f>
        <v>#REF!</v>
      </c>
      <c r="GR8" t="e">
        <f>AND(#REF!,"AAAAAHd3b8c=")</f>
        <v>#REF!</v>
      </c>
      <c r="GS8" t="e">
        <f>AND(#REF!,"AAAAAHd3b8g=")</f>
        <v>#REF!</v>
      </c>
      <c r="GT8" t="e">
        <f>AND(#REF!,"AAAAAHd3b8k=")</f>
        <v>#REF!</v>
      </c>
      <c r="GU8" t="e">
        <f>AND(#REF!,"AAAAAHd3b8o=")</f>
        <v>#REF!</v>
      </c>
      <c r="GV8" t="e">
        <f>AND(#REF!,"AAAAAHd3b8s=")</f>
        <v>#REF!</v>
      </c>
      <c r="GW8" t="e">
        <f>AND(#REF!,"AAAAAHd3b8w=")</f>
        <v>#REF!</v>
      </c>
      <c r="GX8" t="e">
        <f>AND(#REF!,"AAAAAHd3b80=")</f>
        <v>#REF!</v>
      </c>
      <c r="GY8" t="e">
        <f>AND(#REF!,"AAAAAHd3b84=")</f>
        <v>#REF!</v>
      </c>
      <c r="GZ8" t="e">
        <f>AND(#REF!,"AAAAAHd3b88=")</f>
        <v>#REF!</v>
      </c>
      <c r="HA8" t="e">
        <f>AND(#REF!,"AAAAAHd3b9A=")</f>
        <v>#REF!</v>
      </c>
      <c r="HB8" t="e">
        <f>AND(#REF!,"AAAAAHd3b9E=")</f>
        <v>#REF!</v>
      </c>
      <c r="HC8" t="e">
        <f>AND(#REF!,"AAAAAHd3b9I=")</f>
        <v>#REF!</v>
      </c>
      <c r="HD8" t="e">
        <f>AND(#REF!,"AAAAAHd3b9M=")</f>
        <v>#REF!</v>
      </c>
      <c r="HE8" t="e">
        <f>AND(#REF!,"AAAAAHd3b9Q=")</f>
        <v>#REF!</v>
      </c>
      <c r="HF8" t="e">
        <f>AND(#REF!,"AAAAAHd3b9U=")</f>
        <v>#REF!</v>
      </c>
      <c r="HG8" t="e">
        <f>AND(#REF!,"AAAAAHd3b9Y=")</f>
        <v>#REF!</v>
      </c>
      <c r="HH8" t="e">
        <f>AND(#REF!,"AAAAAHd3b9c=")</f>
        <v>#REF!</v>
      </c>
      <c r="HI8" t="e">
        <f>IF(#REF!,"AAAAAHd3b9g=",0)</f>
        <v>#REF!</v>
      </c>
      <c r="HJ8" t="e">
        <f>AND(#REF!,"AAAAAHd3b9k=")</f>
        <v>#REF!</v>
      </c>
      <c r="HK8" t="e">
        <f>AND(#REF!,"AAAAAHd3b9o=")</f>
        <v>#REF!</v>
      </c>
      <c r="HL8" t="e">
        <f>AND(#REF!,"AAAAAHd3b9s=")</f>
        <v>#REF!</v>
      </c>
      <c r="HM8" t="e">
        <f>AND(#REF!,"AAAAAHd3b9w=")</f>
        <v>#REF!</v>
      </c>
      <c r="HN8" t="e">
        <f>AND(#REF!,"AAAAAHd3b90=")</f>
        <v>#REF!</v>
      </c>
      <c r="HO8" t="e">
        <f>AND(#REF!,"AAAAAHd3b94=")</f>
        <v>#REF!</v>
      </c>
      <c r="HP8" t="e">
        <f>AND(#REF!,"AAAAAHd3b98=")</f>
        <v>#REF!</v>
      </c>
      <c r="HQ8" t="e">
        <f>AND(#REF!,"AAAAAHd3b+A=")</f>
        <v>#REF!</v>
      </c>
      <c r="HR8" t="e">
        <f>AND(#REF!,"AAAAAHd3b+E=")</f>
        <v>#REF!</v>
      </c>
      <c r="HS8" t="e">
        <f>AND(#REF!,"AAAAAHd3b+I=")</f>
        <v>#REF!</v>
      </c>
      <c r="HT8" t="e">
        <f>AND(#REF!,"AAAAAHd3b+M=")</f>
        <v>#REF!</v>
      </c>
      <c r="HU8" t="e">
        <f>AND(#REF!,"AAAAAHd3b+Q=")</f>
        <v>#REF!</v>
      </c>
      <c r="HV8" t="e">
        <f>AND(#REF!,"AAAAAHd3b+U=")</f>
        <v>#REF!</v>
      </c>
      <c r="HW8" t="e">
        <f>AND(#REF!,"AAAAAHd3b+Y=")</f>
        <v>#REF!</v>
      </c>
      <c r="HX8" t="e">
        <f>AND(#REF!,"AAAAAHd3b+c=")</f>
        <v>#REF!</v>
      </c>
      <c r="HY8" t="e">
        <f>AND(#REF!,"AAAAAHd3b+g=")</f>
        <v>#REF!</v>
      </c>
      <c r="HZ8" t="e">
        <f>AND(#REF!,"AAAAAHd3b+k=")</f>
        <v>#REF!</v>
      </c>
      <c r="IA8" t="e">
        <f>AND(#REF!,"AAAAAHd3b+o=")</f>
        <v>#REF!</v>
      </c>
      <c r="IB8" t="e">
        <f>AND(#REF!,"AAAAAHd3b+s=")</f>
        <v>#REF!</v>
      </c>
      <c r="IC8" t="e">
        <f>AND(#REF!,"AAAAAHd3b+w=")</f>
        <v>#REF!</v>
      </c>
      <c r="ID8" t="e">
        <f>AND(#REF!,"AAAAAHd3b+0=")</f>
        <v>#REF!</v>
      </c>
      <c r="IE8" t="e">
        <f>AND(#REF!,"AAAAAHd3b+4=")</f>
        <v>#REF!</v>
      </c>
      <c r="IF8" t="e">
        <f>IF(#REF!,"AAAAAHd3b+8=",0)</f>
        <v>#REF!</v>
      </c>
      <c r="IG8" t="e">
        <f>AND(#REF!,"AAAAAHd3b/A=")</f>
        <v>#REF!</v>
      </c>
      <c r="IH8" t="e">
        <f>AND(#REF!,"AAAAAHd3b/E=")</f>
        <v>#REF!</v>
      </c>
      <c r="II8" t="e">
        <f>AND(#REF!,"AAAAAHd3b/I=")</f>
        <v>#REF!</v>
      </c>
      <c r="IJ8" t="e">
        <f>AND(#REF!,"AAAAAHd3b/M=")</f>
        <v>#REF!</v>
      </c>
      <c r="IK8" t="e">
        <f>AND(#REF!,"AAAAAHd3b/Q=")</f>
        <v>#REF!</v>
      </c>
      <c r="IL8" t="e">
        <f>AND(#REF!,"AAAAAHd3b/U=")</f>
        <v>#REF!</v>
      </c>
      <c r="IM8" t="e">
        <f>AND(#REF!,"AAAAAHd3b/Y=")</f>
        <v>#REF!</v>
      </c>
      <c r="IN8" t="e">
        <f>AND(#REF!,"AAAAAHd3b/c=")</f>
        <v>#REF!</v>
      </c>
      <c r="IO8" t="e">
        <f>AND(#REF!,"AAAAAHd3b/g=")</f>
        <v>#REF!</v>
      </c>
      <c r="IP8" t="e">
        <f>AND(#REF!,"AAAAAHd3b/k=")</f>
        <v>#REF!</v>
      </c>
      <c r="IQ8" t="e">
        <f>AND(#REF!,"AAAAAHd3b/o=")</f>
        <v>#REF!</v>
      </c>
      <c r="IR8" t="e">
        <f>AND(#REF!,"AAAAAHd3b/s=")</f>
        <v>#REF!</v>
      </c>
      <c r="IS8" t="e">
        <f>AND(#REF!,"AAAAAHd3b/w=")</f>
        <v>#REF!</v>
      </c>
      <c r="IT8" t="e">
        <f>AND(#REF!,"AAAAAHd3b/0=")</f>
        <v>#REF!</v>
      </c>
      <c r="IU8" t="e">
        <f>AND(#REF!,"AAAAAHd3b/4=")</f>
        <v>#REF!</v>
      </c>
      <c r="IV8" t="e">
        <f>AND(#REF!,"AAAAAHd3b/8=")</f>
        <v>#REF!</v>
      </c>
    </row>
    <row r="9" spans="1:256" ht="15">
      <c r="A9" t="e">
        <f>AND(#REF!,"AAAAAHvtxQA=")</f>
        <v>#REF!</v>
      </c>
      <c r="B9" t="e">
        <f>AND(#REF!,"AAAAAHvtxQE=")</f>
        <v>#REF!</v>
      </c>
      <c r="C9" t="e">
        <f>AND(#REF!,"AAAAAHvtxQI=")</f>
        <v>#REF!</v>
      </c>
      <c r="D9" t="e">
        <f>AND(#REF!,"AAAAAHvtxQM=")</f>
        <v>#REF!</v>
      </c>
      <c r="E9" t="e">
        <f>AND(#REF!,"AAAAAHvtxQQ=")</f>
        <v>#REF!</v>
      </c>
      <c r="F9" t="e">
        <f>AND(#REF!,"AAAAAHvtxQU=")</f>
        <v>#REF!</v>
      </c>
      <c r="G9" t="e">
        <f>IF(#REF!,"AAAAAHvtxQY=",0)</f>
        <v>#REF!</v>
      </c>
      <c r="H9" t="e">
        <f>AND(#REF!,"AAAAAHvtxQc=")</f>
        <v>#REF!</v>
      </c>
      <c r="I9" t="e">
        <f>AND(#REF!,"AAAAAHvtxQg=")</f>
        <v>#REF!</v>
      </c>
      <c r="J9" t="e">
        <f>AND(#REF!,"AAAAAHvtxQk=")</f>
        <v>#REF!</v>
      </c>
      <c r="K9" t="e">
        <f>AND(#REF!,"AAAAAHvtxQo=")</f>
        <v>#REF!</v>
      </c>
      <c r="L9" t="e">
        <f>AND(#REF!,"AAAAAHvtxQs=")</f>
        <v>#REF!</v>
      </c>
      <c r="M9" t="e">
        <f>AND(#REF!,"AAAAAHvtxQw=")</f>
        <v>#REF!</v>
      </c>
      <c r="N9" t="e">
        <f>AND(#REF!,"AAAAAHvtxQ0=")</f>
        <v>#REF!</v>
      </c>
      <c r="O9" t="e">
        <f>AND(#REF!,"AAAAAHvtxQ4=")</f>
        <v>#REF!</v>
      </c>
      <c r="P9" t="e">
        <f>AND(#REF!,"AAAAAHvtxQ8=")</f>
        <v>#REF!</v>
      </c>
      <c r="Q9" t="e">
        <f>AND(#REF!,"AAAAAHvtxRA=")</f>
        <v>#REF!</v>
      </c>
      <c r="R9" t="e">
        <f>AND(#REF!,"AAAAAHvtxRE=")</f>
        <v>#REF!</v>
      </c>
      <c r="S9" t="e">
        <f>AND(#REF!,"AAAAAHvtxRI=")</f>
        <v>#REF!</v>
      </c>
      <c r="T9" t="e">
        <f>AND(#REF!,"AAAAAHvtxRM=")</f>
        <v>#REF!</v>
      </c>
      <c r="U9" t="e">
        <f>AND(#REF!,"AAAAAHvtxRQ=")</f>
        <v>#REF!</v>
      </c>
      <c r="V9" t="e">
        <f>AND(#REF!,"AAAAAHvtxRU=")</f>
        <v>#REF!</v>
      </c>
      <c r="W9" t="e">
        <f>AND(#REF!,"AAAAAHvtxRY=")</f>
        <v>#REF!</v>
      </c>
      <c r="X9" t="e">
        <f>AND(#REF!,"AAAAAHvtxRc=")</f>
        <v>#REF!</v>
      </c>
      <c r="Y9" t="e">
        <f>AND(#REF!,"AAAAAHvtxRg=")</f>
        <v>#REF!</v>
      </c>
      <c r="Z9" t="e">
        <f>AND(#REF!,"AAAAAHvtxRk=")</f>
        <v>#REF!</v>
      </c>
      <c r="AA9" t="e">
        <f>AND(#REF!,"AAAAAHvtxRo=")</f>
        <v>#REF!</v>
      </c>
      <c r="AB9" t="e">
        <f>AND(#REF!,"AAAAAHvtxRs=")</f>
        <v>#REF!</v>
      </c>
      <c r="AC9" t="e">
        <f>AND(#REF!,"AAAAAHvtxRw=")</f>
        <v>#REF!</v>
      </c>
      <c r="AD9" t="e">
        <f>IF(#REF!,"AAAAAHvtxR0=",0)</f>
        <v>#REF!</v>
      </c>
      <c r="AE9" t="e">
        <f>AND(#REF!,"AAAAAHvtxR4=")</f>
        <v>#REF!</v>
      </c>
      <c r="AF9" t="e">
        <f>AND(#REF!,"AAAAAHvtxR8=")</f>
        <v>#REF!</v>
      </c>
      <c r="AG9" t="e">
        <f>AND(#REF!,"AAAAAHvtxSA=")</f>
        <v>#REF!</v>
      </c>
      <c r="AH9" t="e">
        <f>AND(#REF!,"AAAAAHvtxSE=")</f>
        <v>#REF!</v>
      </c>
      <c r="AI9" t="e">
        <f>AND(#REF!,"AAAAAHvtxSI=")</f>
        <v>#REF!</v>
      </c>
      <c r="AJ9" t="e">
        <f>AND(#REF!,"AAAAAHvtxSM=")</f>
        <v>#REF!</v>
      </c>
      <c r="AK9" t="e">
        <f>AND(#REF!,"AAAAAHvtxSQ=")</f>
        <v>#REF!</v>
      </c>
      <c r="AL9" t="e">
        <f>AND(#REF!,"AAAAAHvtxSU=")</f>
        <v>#REF!</v>
      </c>
      <c r="AM9" t="e">
        <f>AND(#REF!,"AAAAAHvtxSY=")</f>
        <v>#REF!</v>
      </c>
      <c r="AN9" t="e">
        <f>AND(#REF!,"AAAAAHvtxSc=")</f>
        <v>#REF!</v>
      </c>
      <c r="AO9" t="e">
        <f>AND(#REF!,"AAAAAHvtxSg=")</f>
        <v>#REF!</v>
      </c>
      <c r="AP9" t="e">
        <f>AND(#REF!,"AAAAAHvtxSk=")</f>
        <v>#REF!</v>
      </c>
      <c r="AQ9" t="e">
        <f>AND(#REF!,"AAAAAHvtxSo=")</f>
        <v>#REF!</v>
      </c>
      <c r="AR9" t="e">
        <f>AND(#REF!,"AAAAAHvtxSs=")</f>
        <v>#REF!</v>
      </c>
      <c r="AS9" t="e">
        <f>AND(#REF!,"AAAAAHvtxSw=")</f>
        <v>#REF!</v>
      </c>
      <c r="AT9" t="e">
        <f>AND(#REF!,"AAAAAHvtxS0=")</f>
        <v>#REF!</v>
      </c>
      <c r="AU9" t="e">
        <f>AND(#REF!,"AAAAAHvtxS4=")</f>
        <v>#REF!</v>
      </c>
      <c r="AV9" t="e">
        <f>AND(#REF!,"AAAAAHvtxS8=")</f>
        <v>#REF!</v>
      </c>
      <c r="AW9" t="e">
        <f>AND(#REF!,"AAAAAHvtxTA=")</f>
        <v>#REF!</v>
      </c>
      <c r="AX9" t="e">
        <f>AND(#REF!,"AAAAAHvtxTE=")</f>
        <v>#REF!</v>
      </c>
      <c r="AY9" t="e">
        <f>AND(#REF!,"AAAAAHvtxTI=")</f>
        <v>#REF!</v>
      </c>
      <c r="AZ9" t="e">
        <f>AND(#REF!,"AAAAAHvtxTM=")</f>
        <v>#REF!</v>
      </c>
      <c r="BA9" t="e">
        <f>IF(#REF!,"AAAAAHvtxTQ=",0)</f>
        <v>#REF!</v>
      </c>
      <c r="BB9" t="e">
        <f>AND(#REF!,"AAAAAHvtxTU=")</f>
        <v>#REF!</v>
      </c>
      <c r="BC9" t="e">
        <f>AND(#REF!,"AAAAAHvtxTY=")</f>
        <v>#REF!</v>
      </c>
      <c r="BD9" t="e">
        <f>AND(#REF!,"AAAAAHvtxTc=")</f>
        <v>#REF!</v>
      </c>
      <c r="BE9" t="e">
        <f>AND(#REF!,"AAAAAHvtxTg=")</f>
        <v>#REF!</v>
      </c>
      <c r="BF9" t="e">
        <f>AND(#REF!,"AAAAAHvtxTk=")</f>
        <v>#REF!</v>
      </c>
      <c r="BG9" t="e">
        <f>AND(#REF!,"AAAAAHvtxTo=")</f>
        <v>#REF!</v>
      </c>
      <c r="BH9" t="e">
        <f>AND(#REF!,"AAAAAHvtxTs=")</f>
        <v>#REF!</v>
      </c>
      <c r="BI9" t="e">
        <f>AND(#REF!,"AAAAAHvtxTw=")</f>
        <v>#REF!</v>
      </c>
      <c r="BJ9" t="e">
        <f>AND(#REF!,"AAAAAHvtxT0=")</f>
        <v>#REF!</v>
      </c>
      <c r="BK9" t="e">
        <f>AND(#REF!,"AAAAAHvtxT4=")</f>
        <v>#REF!</v>
      </c>
      <c r="BL9" t="e">
        <f>AND(#REF!,"AAAAAHvtxT8=")</f>
        <v>#REF!</v>
      </c>
      <c r="BM9" t="e">
        <f>AND(#REF!,"AAAAAHvtxUA=")</f>
        <v>#REF!</v>
      </c>
      <c r="BN9" t="e">
        <f>AND(#REF!,"AAAAAHvtxUE=")</f>
        <v>#REF!</v>
      </c>
      <c r="BO9" t="e">
        <f>AND(#REF!,"AAAAAHvtxUI=")</f>
        <v>#REF!</v>
      </c>
      <c r="BP9" t="e">
        <f>AND(#REF!,"AAAAAHvtxUM=")</f>
        <v>#REF!</v>
      </c>
      <c r="BQ9" t="e">
        <f>AND(#REF!,"AAAAAHvtxUQ=")</f>
        <v>#REF!</v>
      </c>
      <c r="BR9" t="e">
        <f>AND(#REF!,"AAAAAHvtxUU=")</f>
        <v>#REF!</v>
      </c>
      <c r="BS9" t="e">
        <f>AND(#REF!,"AAAAAHvtxUY=")</f>
        <v>#REF!</v>
      </c>
      <c r="BT9" t="e">
        <f>AND(#REF!,"AAAAAHvtxUc=")</f>
        <v>#REF!</v>
      </c>
      <c r="BU9" t="e">
        <f>AND(#REF!,"AAAAAHvtxUg=")</f>
        <v>#REF!</v>
      </c>
      <c r="BV9" t="e">
        <f>AND(#REF!,"AAAAAHvtxUk=")</f>
        <v>#REF!</v>
      </c>
      <c r="BW9" t="e">
        <f>AND(#REF!,"AAAAAHvtxUo=")</f>
        <v>#REF!</v>
      </c>
      <c r="BX9" t="e">
        <f>IF(#REF!,"AAAAAHvtxUs=",0)</f>
        <v>#REF!</v>
      </c>
      <c r="BY9" t="e">
        <f>AND(#REF!,"AAAAAHvtxUw=")</f>
        <v>#REF!</v>
      </c>
      <c r="BZ9" t="e">
        <f>AND(#REF!,"AAAAAHvtxU0=")</f>
        <v>#REF!</v>
      </c>
      <c r="CA9" t="e">
        <f>AND(#REF!,"AAAAAHvtxU4=")</f>
        <v>#REF!</v>
      </c>
      <c r="CB9" t="e">
        <f>AND(#REF!,"AAAAAHvtxU8=")</f>
        <v>#REF!</v>
      </c>
      <c r="CC9" t="e">
        <f>AND(#REF!,"AAAAAHvtxVA=")</f>
        <v>#REF!</v>
      </c>
      <c r="CD9" t="e">
        <f>AND(#REF!,"AAAAAHvtxVE=")</f>
        <v>#REF!</v>
      </c>
      <c r="CE9" t="e">
        <f>AND(#REF!,"AAAAAHvtxVI=")</f>
        <v>#REF!</v>
      </c>
      <c r="CF9" t="e">
        <f>AND(#REF!,"AAAAAHvtxVM=")</f>
        <v>#REF!</v>
      </c>
      <c r="CG9" t="e">
        <f>AND(#REF!,"AAAAAHvtxVQ=")</f>
        <v>#REF!</v>
      </c>
      <c r="CH9" t="e">
        <f>AND(#REF!,"AAAAAHvtxVU=")</f>
        <v>#REF!</v>
      </c>
      <c r="CI9" t="e">
        <f>AND(#REF!,"AAAAAHvtxVY=")</f>
        <v>#REF!</v>
      </c>
      <c r="CJ9" t="e">
        <f>AND(#REF!,"AAAAAHvtxVc=")</f>
        <v>#REF!</v>
      </c>
      <c r="CK9" t="e">
        <f>AND(#REF!,"AAAAAHvtxVg=")</f>
        <v>#REF!</v>
      </c>
      <c r="CL9" t="e">
        <f>AND(#REF!,"AAAAAHvtxVk=")</f>
        <v>#REF!</v>
      </c>
      <c r="CM9" t="e">
        <f>AND(#REF!,"AAAAAHvtxVo=")</f>
        <v>#REF!</v>
      </c>
      <c r="CN9" t="e">
        <f>AND(#REF!,"AAAAAHvtxVs=")</f>
        <v>#REF!</v>
      </c>
      <c r="CO9" t="e">
        <f>AND(#REF!,"AAAAAHvtxVw=")</f>
        <v>#REF!</v>
      </c>
      <c r="CP9" t="e">
        <f>AND(#REF!,"AAAAAHvtxV0=")</f>
        <v>#REF!</v>
      </c>
      <c r="CQ9" t="e">
        <f>AND(#REF!,"AAAAAHvtxV4=")</f>
        <v>#REF!</v>
      </c>
      <c r="CR9" t="e">
        <f>AND(#REF!,"AAAAAHvtxV8=")</f>
        <v>#REF!</v>
      </c>
      <c r="CS9" t="e">
        <f>AND(#REF!,"AAAAAHvtxWA=")</f>
        <v>#REF!</v>
      </c>
      <c r="CT9" t="e">
        <f>AND(#REF!,"AAAAAHvtxWE=")</f>
        <v>#REF!</v>
      </c>
      <c r="CU9" t="e">
        <f>IF(#REF!,"AAAAAHvtxWI=",0)</f>
        <v>#REF!</v>
      </c>
      <c r="CV9" t="e">
        <f>AND(#REF!,"AAAAAHvtxWM=")</f>
        <v>#REF!</v>
      </c>
      <c r="CW9" t="e">
        <f>AND(#REF!,"AAAAAHvtxWQ=")</f>
        <v>#REF!</v>
      </c>
      <c r="CX9" t="e">
        <f>AND(#REF!,"AAAAAHvtxWU=")</f>
        <v>#REF!</v>
      </c>
      <c r="CY9" t="e">
        <f>AND(#REF!,"AAAAAHvtxWY=")</f>
        <v>#REF!</v>
      </c>
      <c r="CZ9" t="e">
        <f>AND(#REF!,"AAAAAHvtxWc=")</f>
        <v>#REF!</v>
      </c>
      <c r="DA9" t="e">
        <f>AND(#REF!,"AAAAAHvtxWg=")</f>
        <v>#REF!</v>
      </c>
      <c r="DB9" t="e">
        <f>AND(#REF!,"AAAAAHvtxWk=")</f>
        <v>#REF!</v>
      </c>
      <c r="DC9" t="e">
        <f>AND(#REF!,"AAAAAHvtxWo=")</f>
        <v>#REF!</v>
      </c>
      <c r="DD9" t="e">
        <f>AND(#REF!,"AAAAAHvtxWs=")</f>
        <v>#REF!</v>
      </c>
      <c r="DE9" t="e">
        <f>AND(#REF!,"AAAAAHvtxWw=")</f>
        <v>#REF!</v>
      </c>
      <c r="DF9" t="e">
        <f>AND(#REF!,"AAAAAHvtxW0=")</f>
        <v>#REF!</v>
      </c>
      <c r="DG9" t="e">
        <f>AND(#REF!,"AAAAAHvtxW4=")</f>
        <v>#REF!</v>
      </c>
      <c r="DH9" t="e">
        <f>AND(#REF!,"AAAAAHvtxW8=")</f>
        <v>#REF!</v>
      </c>
      <c r="DI9" t="e">
        <f>AND(#REF!,"AAAAAHvtxXA=")</f>
        <v>#REF!</v>
      </c>
      <c r="DJ9" t="e">
        <f>AND(#REF!,"AAAAAHvtxXE=")</f>
        <v>#REF!</v>
      </c>
      <c r="DK9" t="e">
        <f>AND(#REF!,"AAAAAHvtxXI=")</f>
        <v>#REF!</v>
      </c>
      <c r="DL9" t="e">
        <f>AND(#REF!,"AAAAAHvtxXM=")</f>
        <v>#REF!</v>
      </c>
      <c r="DM9" t="e">
        <f>AND(#REF!,"AAAAAHvtxXQ=")</f>
        <v>#REF!</v>
      </c>
      <c r="DN9" t="e">
        <f>AND(#REF!,"AAAAAHvtxXU=")</f>
        <v>#REF!</v>
      </c>
      <c r="DO9" t="e">
        <f>AND(#REF!,"AAAAAHvtxXY=")</f>
        <v>#REF!</v>
      </c>
      <c r="DP9" t="e">
        <f>AND(#REF!,"AAAAAHvtxXc=")</f>
        <v>#REF!</v>
      </c>
      <c r="DQ9" t="e">
        <f>AND(#REF!,"AAAAAHvtxXg=")</f>
        <v>#REF!</v>
      </c>
      <c r="DR9" t="e">
        <f>IF(#REF!,"AAAAAHvtxXk=",0)</f>
        <v>#REF!</v>
      </c>
      <c r="DS9" t="e">
        <f>AND(#REF!,"AAAAAHvtxXo=")</f>
        <v>#REF!</v>
      </c>
      <c r="DT9" t="e">
        <f>AND(#REF!,"AAAAAHvtxXs=")</f>
        <v>#REF!</v>
      </c>
      <c r="DU9" t="e">
        <f>AND(#REF!,"AAAAAHvtxXw=")</f>
        <v>#REF!</v>
      </c>
      <c r="DV9" t="e">
        <f>AND(#REF!,"AAAAAHvtxX0=")</f>
        <v>#REF!</v>
      </c>
      <c r="DW9" t="e">
        <f>AND(#REF!,"AAAAAHvtxX4=")</f>
        <v>#REF!</v>
      </c>
      <c r="DX9" t="e">
        <f>AND(#REF!,"AAAAAHvtxX8=")</f>
        <v>#REF!</v>
      </c>
      <c r="DY9" t="e">
        <f>AND(#REF!,"AAAAAHvtxYA=")</f>
        <v>#REF!</v>
      </c>
      <c r="DZ9" t="e">
        <f>AND(#REF!,"AAAAAHvtxYE=")</f>
        <v>#REF!</v>
      </c>
      <c r="EA9" t="e">
        <f>AND(#REF!,"AAAAAHvtxYI=")</f>
        <v>#REF!</v>
      </c>
      <c r="EB9" t="e">
        <f>AND(#REF!,"AAAAAHvtxYM=")</f>
        <v>#REF!</v>
      </c>
      <c r="EC9" t="e">
        <f>AND(#REF!,"AAAAAHvtxYQ=")</f>
        <v>#REF!</v>
      </c>
      <c r="ED9" t="e">
        <f>AND(#REF!,"AAAAAHvtxYU=")</f>
        <v>#REF!</v>
      </c>
      <c r="EE9" t="e">
        <f>AND(#REF!,"AAAAAHvtxYY=")</f>
        <v>#REF!</v>
      </c>
      <c r="EF9" t="e">
        <f>AND(#REF!,"AAAAAHvtxYc=")</f>
        <v>#REF!</v>
      </c>
      <c r="EG9" t="e">
        <f>AND(#REF!,"AAAAAHvtxYg=")</f>
        <v>#REF!</v>
      </c>
      <c r="EH9" t="e">
        <f>AND(#REF!,"AAAAAHvtxYk=")</f>
        <v>#REF!</v>
      </c>
      <c r="EI9" t="e">
        <f>AND(#REF!,"AAAAAHvtxYo=")</f>
        <v>#REF!</v>
      </c>
      <c r="EJ9" t="e">
        <f>AND(#REF!,"AAAAAHvtxYs=")</f>
        <v>#REF!</v>
      </c>
      <c r="EK9" t="e">
        <f>AND(#REF!,"AAAAAHvtxYw=")</f>
        <v>#REF!</v>
      </c>
      <c r="EL9" t="e">
        <f>AND(#REF!,"AAAAAHvtxY0=")</f>
        <v>#REF!</v>
      </c>
      <c r="EM9" t="e">
        <f>AND(#REF!,"AAAAAHvtxY4=")</f>
        <v>#REF!</v>
      </c>
      <c r="EN9" t="e">
        <f>AND(#REF!,"AAAAAHvtxY8=")</f>
        <v>#REF!</v>
      </c>
      <c r="EO9" t="e">
        <f>IF(#REF!,"AAAAAHvtxZA=",0)</f>
        <v>#REF!</v>
      </c>
      <c r="EP9" t="e">
        <f>AND(#REF!,"AAAAAHvtxZE=")</f>
        <v>#REF!</v>
      </c>
      <c r="EQ9" t="e">
        <f>AND(#REF!,"AAAAAHvtxZI=")</f>
        <v>#REF!</v>
      </c>
      <c r="ER9" t="e">
        <f>AND(#REF!,"AAAAAHvtxZM=")</f>
        <v>#REF!</v>
      </c>
      <c r="ES9" t="e">
        <f>AND(#REF!,"AAAAAHvtxZQ=")</f>
        <v>#REF!</v>
      </c>
      <c r="ET9" t="e">
        <f>AND(#REF!,"AAAAAHvtxZU=")</f>
        <v>#REF!</v>
      </c>
      <c r="EU9" t="e">
        <f>AND(#REF!,"AAAAAHvtxZY=")</f>
        <v>#REF!</v>
      </c>
      <c r="EV9" t="e">
        <f>AND(#REF!,"AAAAAHvtxZc=")</f>
        <v>#REF!</v>
      </c>
      <c r="EW9" t="e">
        <f>AND(#REF!,"AAAAAHvtxZg=")</f>
        <v>#REF!</v>
      </c>
      <c r="EX9" t="e">
        <f>AND(#REF!,"AAAAAHvtxZk=")</f>
        <v>#REF!</v>
      </c>
      <c r="EY9" t="e">
        <f>AND(#REF!,"AAAAAHvtxZo=")</f>
        <v>#REF!</v>
      </c>
      <c r="EZ9" t="e">
        <f>AND(#REF!,"AAAAAHvtxZs=")</f>
        <v>#REF!</v>
      </c>
      <c r="FA9" t="e">
        <f>AND(#REF!,"AAAAAHvtxZw=")</f>
        <v>#REF!</v>
      </c>
      <c r="FB9" t="e">
        <f>AND(#REF!,"AAAAAHvtxZ0=")</f>
        <v>#REF!</v>
      </c>
      <c r="FC9" t="e">
        <f>AND(#REF!,"AAAAAHvtxZ4=")</f>
        <v>#REF!</v>
      </c>
      <c r="FD9" t="e">
        <f>AND(#REF!,"AAAAAHvtxZ8=")</f>
        <v>#REF!</v>
      </c>
      <c r="FE9" t="e">
        <f>AND(#REF!,"AAAAAHvtxaA=")</f>
        <v>#REF!</v>
      </c>
      <c r="FF9" t="e">
        <f>AND(#REF!,"AAAAAHvtxaE=")</f>
        <v>#REF!</v>
      </c>
      <c r="FG9" t="e">
        <f>AND(#REF!,"AAAAAHvtxaI=")</f>
        <v>#REF!</v>
      </c>
      <c r="FH9" t="e">
        <f>AND(#REF!,"AAAAAHvtxaM=")</f>
        <v>#REF!</v>
      </c>
      <c r="FI9" t="e">
        <f>AND(#REF!,"AAAAAHvtxaQ=")</f>
        <v>#REF!</v>
      </c>
      <c r="FJ9" t="e">
        <f>AND(#REF!,"AAAAAHvtxaU=")</f>
        <v>#REF!</v>
      </c>
      <c r="FK9" t="e">
        <f>AND(#REF!,"AAAAAHvtxaY=")</f>
        <v>#REF!</v>
      </c>
      <c r="FL9" t="e">
        <f>IF(#REF!,"AAAAAHvtxac=",0)</f>
        <v>#REF!</v>
      </c>
      <c r="FM9" t="e">
        <f>AND(#REF!,"AAAAAHvtxag=")</f>
        <v>#REF!</v>
      </c>
      <c r="FN9" t="e">
        <f>AND(#REF!,"AAAAAHvtxak=")</f>
        <v>#REF!</v>
      </c>
      <c r="FO9" t="e">
        <f>AND(#REF!,"AAAAAHvtxao=")</f>
        <v>#REF!</v>
      </c>
      <c r="FP9" t="e">
        <f>AND(#REF!,"AAAAAHvtxas=")</f>
        <v>#REF!</v>
      </c>
      <c r="FQ9" t="e">
        <f>AND(#REF!,"AAAAAHvtxaw=")</f>
        <v>#REF!</v>
      </c>
      <c r="FR9" t="e">
        <f>AND(#REF!,"AAAAAHvtxa0=")</f>
        <v>#REF!</v>
      </c>
      <c r="FS9" t="e">
        <f>AND(#REF!,"AAAAAHvtxa4=")</f>
        <v>#REF!</v>
      </c>
      <c r="FT9" t="e">
        <f>AND(#REF!,"AAAAAHvtxa8=")</f>
        <v>#REF!</v>
      </c>
      <c r="FU9" t="e">
        <f>AND(#REF!,"AAAAAHvtxbA=")</f>
        <v>#REF!</v>
      </c>
      <c r="FV9" t="e">
        <f>AND(#REF!,"AAAAAHvtxbE=")</f>
        <v>#REF!</v>
      </c>
      <c r="FW9" t="e">
        <f>AND(#REF!,"AAAAAHvtxbI=")</f>
        <v>#REF!</v>
      </c>
      <c r="FX9" t="e">
        <f>AND(#REF!,"AAAAAHvtxbM=")</f>
        <v>#REF!</v>
      </c>
      <c r="FY9" t="e">
        <f>AND(#REF!,"AAAAAHvtxbQ=")</f>
        <v>#REF!</v>
      </c>
      <c r="FZ9" t="e">
        <f>AND(#REF!,"AAAAAHvtxbU=")</f>
        <v>#REF!</v>
      </c>
      <c r="GA9" t="e">
        <f>AND(#REF!,"AAAAAHvtxbY=")</f>
        <v>#REF!</v>
      </c>
      <c r="GB9" t="e">
        <f>AND(#REF!,"AAAAAHvtxbc=")</f>
        <v>#REF!</v>
      </c>
      <c r="GC9" t="e">
        <f>AND(#REF!,"AAAAAHvtxbg=")</f>
        <v>#REF!</v>
      </c>
      <c r="GD9" t="e">
        <f>AND(#REF!,"AAAAAHvtxbk=")</f>
        <v>#REF!</v>
      </c>
      <c r="GE9" t="e">
        <f>AND(#REF!,"AAAAAHvtxbo=")</f>
        <v>#REF!</v>
      </c>
      <c r="GF9" t="e">
        <f>AND(#REF!,"AAAAAHvtxbs=")</f>
        <v>#REF!</v>
      </c>
      <c r="GG9" t="e">
        <f>AND(#REF!,"AAAAAHvtxbw=")</f>
        <v>#REF!</v>
      </c>
      <c r="GH9" t="e">
        <f>AND(#REF!,"AAAAAHvtxb0=")</f>
        <v>#REF!</v>
      </c>
      <c r="GI9" t="e">
        <f>IF(#REF!,"AAAAAHvtxb4=",0)</f>
        <v>#REF!</v>
      </c>
      <c r="GJ9" t="e">
        <f>AND(#REF!,"AAAAAHvtxb8=")</f>
        <v>#REF!</v>
      </c>
      <c r="GK9" t="e">
        <f>AND(#REF!,"AAAAAHvtxcA=")</f>
        <v>#REF!</v>
      </c>
      <c r="GL9" t="e">
        <f>AND(#REF!,"AAAAAHvtxcE=")</f>
        <v>#REF!</v>
      </c>
      <c r="GM9" t="e">
        <f>AND(#REF!,"AAAAAHvtxcI=")</f>
        <v>#REF!</v>
      </c>
      <c r="GN9" t="e">
        <f>AND(#REF!,"AAAAAHvtxcM=")</f>
        <v>#REF!</v>
      </c>
      <c r="GO9" t="e">
        <f>AND(#REF!,"AAAAAHvtxcQ=")</f>
        <v>#REF!</v>
      </c>
      <c r="GP9" t="e">
        <f>AND(#REF!,"AAAAAHvtxcU=")</f>
        <v>#REF!</v>
      </c>
      <c r="GQ9" t="e">
        <f>AND(#REF!,"AAAAAHvtxcY=")</f>
        <v>#REF!</v>
      </c>
      <c r="GR9" t="e">
        <f>AND(#REF!,"AAAAAHvtxcc=")</f>
        <v>#REF!</v>
      </c>
      <c r="GS9" t="e">
        <f>AND(#REF!,"AAAAAHvtxcg=")</f>
        <v>#REF!</v>
      </c>
      <c r="GT9" t="e">
        <f>AND(#REF!,"AAAAAHvtxck=")</f>
        <v>#REF!</v>
      </c>
      <c r="GU9" t="e">
        <f>AND(#REF!,"AAAAAHvtxco=")</f>
        <v>#REF!</v>
      </c>
      <c r="GV9" t="e">
        <f>AND(#REF!,"AAAAAHvtxcs=")</f>
        <v>#REF!</v>
      </c>
      <c r="GW9" t="e">
        <f>AND(#REF!,"AAAAAHvtxcw=")</f>
        <v>#REF!</v>
      </c>
      <c r="GX9" t="e">
        <f>AND(#REF!,"AAAAAHvtxc0=")</f>
        <v>#REF!</v>
      </c>
      <c r="GY9" t="e">
        <f>AND(#REF!,"AAAAAHvtxc4=")</f>
        <v>#REF!</v>
      </c>
      <c r="GZ9" t="e">
        <f>AND(#REF!,"AAAAAHvtxc8=")</f>
        <v>#REF!</v>
      </c>
      <c r="HA9" t="e">
        <f>AND(#REF!,"AAAAAHvtxdA=")</f>
        <v>#REF!</v>
      </c>
      <c r="HB9" t="e">
        <f>AND(#REF!,"AAAAAHvtxdE=")</f>
        <v>#REF!</v>
      </c>
      <c r="HC9" t="e">
        <f>AND(#REF!,"AAAAAHvtxdI=")</f>
        <v>#REF!</v>
      </c>
      <c r="HD9" t="e">
        <f>AND(#REF!,"AAAAAHvtxdM=")</f>
        <v>#REF!</v>
      </c>
      <c r="HE9" t="e">
        <f>AND(#REF!,"AAAAAHvtxdQ=")</f>
        <v>#REF!</v>
      </c>
      <c r="HF9" t="e">
        <f>IF(#REF!,"AAAAAHvtxdU=",0)</f>
        <v>#REF!</v>
      </c>
      <c r="HG9" t="e">
        <f>AND(#REF!,"AAAAAHvtxdY=")</f>
        <v>#REF!</v>
      </c>
      <c r="HH9" t="e">
        <f>AND(#REF!,"AAAAAHvtxdc=")</f>
        <v>#REF!</v>
      </c>
      <c r="HI9" t="e">
        <f>AND(#REF!,"AAAAAHvtxdg=")</f>
        <v>#REF!</v>
      </c>
      <c r="HJ9" t="e">
        <f>AND(#REF!,"AAAAAHvtxdk=")</f>
        <v>#REF!</v>
      </c>
      <c r="HK9" t="e">
        <f>AND(#REF!,"AAAAAHvtxdo=")</f>
        <v>#REF!</v>
      </c>
      <c r="HL9" t="e">
        <f>AND(#REF!,"AAAAAHvtxds=")</f>
        <v>#REF!</v>
      </c>
      <c r="HM9" t="e">
        <f>AND(#REF!,"AAAAAHvtxdw=")</f>
        <v>#REF!</v>
      </c>
      <c r="HN9" t="e">
        <f>AND(#REF!,"AAAAAHvtxd0=")</f>
        <v>#REF!</v>
      </c>
      <c r="HO9" t="e">
        <f>AND(#REF!,"AAAAAHvtxd4=")</f>
        <v>#REF!</v>
      </c>
      <c r="HP9" t="e">
        <f>AND(#REF!,"AAAAAHvtxd8=")</f>
        <v>#REF!</v>
      </c>
      <c r="HQ9" t="e">
        <f>AND(#REF!,"AAAAAHvtxeA=")</f>
        <v>#REF!</v>
      </c>
      <c r="HR9" t="e">
        <f>AND(#REF!,"AAAAAHvtxeE=")</f>
        <v>#REF!</v>
      </c>
      <c r="HS9" t="e">
        <f>AND(#REF!,"AAAAAHvtxeI=")</f>
        <v>#REF!</v>
      </c>
      <c r="HT9" t="e">
        <f>AND(#REF!,"AAAAAHvtxeM=")</f>
        <v>#REF!</v>
      </c>
      <c r="HU9" t="e">
        <f>AND(#REF!,"AAAAAHvtxeQ=")</f>
        <v>#REF!</v>
      </c>
      <c r="HV9" t="e">
        <f>AND(#REF!,"AAAAAHvtxeU=")</f>
        <v>#REF!</v>
      </c>
      <c r="HW9" t="e">
        <f>AND(#REF!,"AAAAAHvtxeY=")</f>
        <v>#REF!</v>
      </c>
      <c r="HX9" t="e">
        <f>AND(#REF!,"AAAAAHvtxec=")</f>
        <v>#REF!</v>
      </c>
      <c r="HY9" t="e">
        <f>AND(#REF!,"AAAAAHvtxeg=")</f>
        <v>#REF!</v>
      </c>
      <c r="HZ9" t="e">
        <f>AND(#REF!,"AAAAAHvtxek=")</f>
        <v>#REF!</v>
      </c>
      <c r="IA9" t="e">
        <f>AND(#REF!,"AAAAAHvtxeo=")</f>
        <v>#REF!</v>
      </c>
      <c r="IB9" t="e">
        <f>AND(#REF!,"AAAAAHvtxes=")</f>
        <v>#REF!</v>
      </c>
      <c r="IC9" t="e">
        <f>IF(#REF!,"AAAAAHvtxew=",0)</f>
        <v>#REF!</v>
      </c>
      <c r="ID9" t="e">
        <f>AND(#REF!,"AAAAAHvtxe0=")</f>
        <v>#REF!</v>
      </c>
      <c r="IE9" t="e">
        <f>AND(#REF!,"AAAAAHvtxe4=")</f>
        <v>#REF!</v>
      </c>
      <c r="IF9" t="e">
        <f>AND(#REF!,"AAAAAHvtxe8=")</f>
        <v>#REF!</v>
      </c>
      <c r="IG9" t="e">
        <f>AND(#REF!,"AAAAAHvtxfA=")</f>
        <v>#REF!</v>
      </c>
      <c r="IH9" t="e">
        <f>AND(#REF!,"AAAAAHvtxfE=")</f>
        <v>#REF!</v>
      </c>
      <c r="II9" t="e">
        <f>AND(#REF!,"AAAAAHvtxfI=")</f>
        <v>#REF!</v>
      </c>
      <c r="IJ9" t="e">
        <f>AND(#REF!,"AAAAAHvtxfM=")</f>
        <v>#REF!</v>
      </c>
      <c r="IK9" t="e">
        <f>AND(#REF!,"AAAAAHvtxfQ=")</f>
        <v>#REF!</v>
      </c>
      <c r="IL9" t="e">
        <f>AND(#REF!,"AAAAAHvtxfU=")</f>
        <v>#REF!</v>
      </c>
      <c r="IM9" t="e">
        <f>AND(#REF!,"AAAAAHvtxfY=")</f>
        <v>#REF!</v>
      </c>
      <c r="IN9" t="e">
        <f>AND(#REF!,"AAAAAHvtxfc=")</f>
        <v>#REF!</v>
      </c>
      <c r="IO9" t="e">
        <f>AND(#REF!,"AAAAAHvtxfg=")</f>
        <v>#REF!</v>
      </c>
      <c r="IP9" t="e">
        <f>AND(#REF!,"AAAAAHvtxfk=")</f>
        <v>#REF!</v>
      </c>
      <c r="IQ9" t="e">
        <f>AND(#REF!,"AAAAAHvtxfo=")</f>
        <v>#REF!</v>
      </c>
      <c r="IR9" t="e">
        <f>AND(#REF!,"AAAAAHvtxfs=")</f>
        <v>#REF!</v>
      </c>
      <c r="IS9" t="e">
        <f>AND(#REF!,"AAAAAHvtxfw=")</f>
        <v>#REF!</v>
      </c>
      <c r="IT9" t="e">
        <f>AND(#REF!,"AAAAAHvtxf0=")</f>
        <v>#REF!</v>
      </c>
      <c r="IU9" t="e">
        <f>AND(#REF!,"AAAAAHvtxf4=")</f>
        <v>#REF!</v>
      </c>
      <c r="IV9" t="e">
        <f>AND(#REF!,"AAAAAHvtxf8=")</f>
        <v>#REF!</v>
      </c>
    </row>
    <row r="10" spans="1:256" ht="15">
      <c r="A10" t="e">
        <f>AND(#REF!,"AAAAAH7f/gA=")</f>
        <v>#REF!</v>
      </c>
      <c r="B10" t="e">
        <f>AND(#REF!,"AAAAAH7f/gE=")</f>
        <v>#REF!</v>
      </c>
      <c r="C10" t="e">
        <f>AND(#REF!,"AAAAAH7f/gI=")</f>
        <v>#REF!</v>
      </c>
      <c r="D10" t="e">
        <f>IF(#REF!,"AAAAAH7f/gM=",0)</f>
        <v>#REF!</v>
      </c>
      <c r="E10" t="e">
        <f>AND(#REF!,"AAAAAH7f/gQ=")</f>
        <v>#REF!</v>
      </c>
      <c r="F10" t="e">
        <f>AND(#REF!,"AAAAAH7f/gU=")</f>
        <v>#REF!</v>
      </c>
      <c r="G10" t="e">
        <f>AND(#REF!,"AAAAAH7f/gY=")</f>
        <v>#REF!</v>
      </c>
      <c r="H10" t="e">
        <f>AND(#REF!,"AAAAAH7f/gc=")</f>
        <v>#REF!</v>
      </c>
      <c r="I10" t="e">
        <f>AND(#REF!,"AAAAAH7f/gg=")</f>
        <v>#REF!</v>
      </c>
      <c r="J10" t="e">
        <f>AND(#REF!,"AAAAAH7f/gk=")</f>
        <v>#REF!</v>
      </c>
      <c r="K10" t="e">
        <f>AND(#REF!,"AAAAAH7f/go=")</f>
        <v>#REF!</v>
      </c>
      <c r="L10" t="e">
        <f>AND(#REF!,"AAAAAH7f/gs=")</f>
        <v>#REF!</v>
      </c>
      <c r="M10" t="e">
        <f>AND(#REF!,"AAAAAH7f/gw=")</f>
        <v>#REF!</v>
      </c>
      <c r="N10" t="e">
        <f>AND(#REF!,"AAAAAH7f/g0=")</f>
        <v>#REF!</v>
      </c>
      <c r="O10" t="e">
        <f>AND(#REF!,"AAAAAH7f/g4=")</f>
        <v>#REF!</v>
      </c>
      <c r="P10" t="e">
        <f>AND(#REF!,"AAAAAH7f/g8=")</f>
        <v>#REF!</v>
      </c>
      <c r="Q10" t="e">
        <f>AND(#REF!,"AAAAAH7f/hA=")</f>
        <v>#REF!</v>
      </c>
      <c r="R10" t="e">
        <f>AND(#REF!,"AAAAAH7f/hE=")</f>
        <v>#REF!</v>
      </c>
      <c r="S10" t="e">
        <f>AND(#REF!,"AAAAAH7f/hI=")</f>
        <v>#REF!</v>
      </c>
      <c r="T10" t="e">
        <f>AND(#REF!,"AAAAAH7f/hM=")</f>
        <v>#REF!</v>
      </c>
      <c r="U10" t="e">
        <f>AND(#REF!,"AAAAAH7f/hQ=")</f>
        <v>#REF!</v>
      </c>
      <c r="V10" t="e">
        <f>AND(#REF!,"AAAAAH7f/hU=")</f>
        <v>#REF!</v>
      </c>
      <c r="W10" t="e">
        <f>AND(#REF!,"AAAAAH7f/hY=")</f>
        <v>#REF!</v>
      </c>
      <c r="X10" t="e">
        <f>AND(#REF!,"AAAAAH7f/hc=")</f>
        <v>#REF!</v>
      </c>
      <c r="Y10" t="e">
        <f>AND(#REF!,"AAAAAH7f/hg=")</f>
        <v>#REF!</v>
      </c>
      <c r="Z10" t="e">
        <f>AND(#REF!,"AAAAAH7f/hk=")</f>
        <v>#REF!</v>
      </c>
      <c r="AA10" t="e">
        <f>IF(#REF!,"AAAAAH7f/ho=",0)</f>
        <v>#REF!</v>
      </c>
      <c r="AB10" t="e">
        <f>AND(#REF!,"AAAAAH7f/hs=")</f>
        <v>#REF!</v>
      </c>
      <c r="AC10" t="e">
        <f>AND(#REF!,"AAAAAH7f/hw=")</f>
        <v>#REF!</v>
      </c>
      <c r="AD10" t="e">
        <f>AND(#REF!,"AAAAAH7f/h0=")</f>
        <v>#REF!</v>
      </c>
      <c r="AE10" t="e">
        <f>AND(#REF!,"AAAAAH7f/h4=")</f>
        <v>#REF!</v>
      </c>
      <c r="AF10" t="e">
        <f>AND(#REF!,"AAAAAH7f/h8=")</f>
        <v>#REF!</v>
      </c>
      <c r="AG10" t="e">
        <f>AND(#REF!,"AAAAAH7f/iA=")</f>
        <v>#REF!</v>
      </c>
      <c r="AH10" t="e">
        <f>AND(#REF!,"AAAAAH7f/iE=")</f>
        <v>#REF!</v>
      </c>
      <c r="AI10" t="e">
        <f>AND(#REF!,"AAAAAH7f/iI=")</f>
        <v>#REF!</v>
      </c>
      <c r="AJ10" t="e">
        <f>AND(#REF!,"AAAAAH7f/iM=")</f>
        <v>#REF!</v>
      </c>
      <c r="AK10" t="e">
        <f>AND(#REF!,"AAAAAH7f/iQ=")</f>
        <v>#REF!</v>
      </c>
      <c r="AL10" t="e">
        <f>AND(#REF!,"AAAAAH7f/iU=")</f>
        <v>#REF!</v>
      </c>
      <c r="AM10" t="e">
        <f>AND(#REF!,"AAAAAH7f/iY=")</f>
        <v>#REF!</v>
      </c>
      <c r="AN10" t="e">
        <f>AND(#REF!,"AAAAAH7f/ic=")</f>
        <v>#REF!</v>
      </c>
      <c r="AO10" t="e">
        <f>AND(#REF!,"AAAAAH7f/ig=")</f>
        <v>#REF!</v>
      </c>
      <c r="AP10" t="e">
        <f>AND(#REF!,"AAAAAH7f/ik=")</f>
        <v>#REF!</v>
      </c>
      <c r="AQ10" t="e">
        <f>AND(#REF!,"AAAAAH7f/io=")</f>
        <v>#REF!</v>
      </c>
      <c r="AR10" t="e">
        <f>AND(#REF!,"AAAAAH7f/is=")</f>
        <v>#REF!</v>
      </c>
      <c r="AS10" t="e">
        <f>AND(#REF!,"AAAAAH7f/iw=")</f>
        <v>#REF!</v>
      </c>
      <c r="AT10" t="e">
        <f>AND(#REF!,"AAAAAH7f/i0=")</f>
        <v>#REF!</v>
      </c>
      <c r="AU10" t="e">
        <f>AND(#REF!,"AAAAAH7f/i4=")</f>
        <v>#REF!</v>
      </c>
      <c r="AV10" t="e">
        <f>AND(#REF!,"AAAAAH7f/i8=")</f>
        <v>#REF!</v>
      </c>
      <c r="AW10" t="e">
        <f>AND(#REF!,"AAAAAH7f/jA=")</f>
        <v>#REF!</v>
      </c>
      <c r="AX10" t="e">
        <f>IF(#REF!,"AAAAAH7f/jE=",0)</f>
        <v>#REF!</v>
      </c>
      <c r="AY10" t="e">
        <f>AND(#REF!,"AAAAAH7f/jI=")</f>
        <v>#REF!</v>
      </c>
      <c r="AZ10" t="e">
        <f>AND(#REF!,"AAAAAH7f/jM=")</f>
        <v>#REF!</v>
      </c>
      <c r="BA10" t="e">
        <f>AND(#REF!,"AAAAAH7f/jQ=")</f>
        <v>#REF!</v>
      </c>
      <c r="BB10" t="e">
        <f>AND(#REF!,"AAAAAH7f/jU=")</f>
        <v>#REF!</v>
      </c>
      <c r="BC10" t="e">
        <f>AND(#REF!,"AAAAAH7f/jY=")</f>
        <v>#REF!</v>
      </c>
      <c r="BD10" t="e">
        <f>AND(#REF!,"AAAAAH7f/jc=")</f>
        <v>#REF!</v>
      </c>
      <c r="BE10" t="e">
        <f>AND(#REF!,"AAAAAH7f/jg=")</f>
        <v>#REF!</v>
      </c>
      <c r="BF10" t="e">
        <f>AND(#REF!,"AAAAAH7f/jk=")</f>
        <v>#REF!</v>
      </c>
      <c r="BG10" t="e">
        <f>AND(#REF!,"AAAAAH7f/jo=")</f>
        <v>#REF!</v>
      </c>
      <c r="BH10" t="e">
        <f>AND(#REF!,"AAAAAH7f/js=")</f>
        <v>#REF!</v>
      </c>
      <c r="BI10" t="e">
        <f>AND(#REF!,"AAAAAH7f/jw=")</f>
        <v>#REF!</v>
      </c>
      <c r="BJ10" t="e">
        <f>AND(#REF!,"AAAAAH7f/j0=")</f>
        <v>#REF!</v>
      </c>
      <c r="BK10" t="e">
        <f>AND(#REF!,"AAAAAH7f/j4=")</f>
        <v>#REF!</v>
      </c>
      <c r="BL10" t="e">
        <f>AND(#REF!,"AAAAAH7f/j8=")</f>
        <v>#REF!</v>
      </c>
      <c r="BM10" t="e">
        <f>AND(#REF!,"AAAAAH7f/kA=")</f>
        <v>#REF!</v>
      </c>
      <c r="BN10" t="e">
        <f>AND(#REF!,"AAAAAH7f/kE=")</f>
        <v>#REF!</v>
      </c>
      <c r="BO10" t="e">
        <f>AND(#REF!,"AAAAAH7f/kI=")</f>
        <v>#REF!</v>
      </c>
      <c r="BP10" t="e">
        <f>AND(#REF!,"AAAAAH7f/kM=")</f>
        <v>#REF!</v>
      </c>
      <c r="BQ10" t="e">
        <f>AND(#REF!,"AAAAAH7f/kQ=")</f>
        <v>#REF!</v>
      </c>
      <c r="BR10" t="e">
        <f>AND(#REF!,"AAAAAH7f/kU=")</f>
        <v>#REF!</v>
      </c>
      <c r="BS10" t="e">
        <f>AND(#REF!,"AAAAAH7f/kY=")</f>
        <v>#REF!</v>
      </c>
      <c r="BT10" t="e">
        <f>AND(#REF!,"AAAAAH7f/kc=")</f>
        <v>#REF!</v>
      </c>
      <c r="BU10" t="e">
        <f>IF(#REF!,"AAAAAH7f/kg=",0)</f>
        <v>#REF!</v>
      </c>
      <c r="BV10" t="e">
        <f>AND(#REF!,"AAAAAH7f/kk=")</f>
        <v>#REF!</v>
      </c>
      <c r="BW10" t="e">
        <f>AND(#REF!,"AAAAAH7f/ko=")</f>
        <v>#REF!</v>
      </c>
      <c r="BX10" t="e">
        <f>AND(#REF!,"AAAAAH7f/ks=")</f>
        <v>#REF!</v>
      </c>
      <c r="BY10" t="e">
        <f>AND(#REF!,"AAAAAH7f/kw=")</f>
        <v>#REF!</v>
      </c>
      <c r="BZ10" t="e">
        <f>AND(#REF!,"AAAAAH7f/k0=")</f>
        <v>#REF!</v>
      </c>
      <c r="CA10" t="e">
        <f>AND(#REF!,"AAAAAH7f/k4=")</f>
        <v>#REF!</v>
      </c>
      <c r="CB10" t="e">
        <f>AND(#REF!,"AAAAAH7f/k8=")</f>
        <v>#REF!</v>
      </c>
      <c r="CC10" t="e">
        <f>AND(#REF!,"AAAAAH7f/lA=")</f>
        <v>#REF!</v>
      </c>
      <c r="CD10" t="e">
        <f>AND(#REF!,"AAAAAH7f/lE=")</f>
        <v>#REF!</v>
      </c>
      <c r="CE10" t="e">
        <f>AND(#REF!,"AAAAAH7f/lI=")</f>
        <v>#REF!</v>
      </c>
      <c r="CF10" t="e">
        <f>AND(#REF!,"AAAAAH7f/lM=")</f>
        <v>#REF!</v>
      </c>
      <c r="CG10" t="e">
        <f>AND(#REF!,"AAAAAH7f/lQ=")</f>
        <v>#REF!</v>
      </c>
      <c r="CH10" t="e">
        <f>AND(#REF!,"AAAAAH7f/lU=")</f>
        <v>#REF!</v>
      </c>
      <c r="CI10" t="e">
        <f>AND(#REF!,"AAAAAH7f/lY=")</f>
        <v>#REF!</v>
      </c>
      <c r="CJ10" t="e">
        <f>AND(#REF!,"AAAAAH7f/lc=")</f>
        <v>#REF!</v>
      </c>
      <c r="CK10" t="e">
        <f>AND(#REF!,"AAAAAH7f/lg=")</f>
        <v>#REF!</v>
      </c>
      <c r="CL10" t="e">
        <f>AND(#REF!,"AAAAAH7f/lk=")</f>
        <v>#REF!</v>
      </c>
      <c r="CM10" t="e">
        <f>AND(#REF!,"AAAAAH7f/lo=")</f>
        <v>#REF!</v>
      </c>
      <c r="CN10" t="e">
        <f>AND(#REF!,"AAAAAH7f/ls=")</f>
        <v>#REF!</v>
      </c>
      <c r="CO10" t="e">
        <f>AND(#REF!,"AAAAAH7f/lw=")</f>
        <v>#REF!</v>
      </c>
      <c r="CP10" t="e">
        <f>AND(#REF!,"AAAAAH7f/l0=")</f>
        <v>#REF!</v>
      </c>
      <c r="CQ10" t="e">
        <f>AND(#REF!,"AAAAAH7f/l4=")</f>
        <v>#REF!</v>
      </c>
      <c r="CR10" t="e">
        <f>IF(#REF!,"AAAAAH7f/l8=",0)</f>
        <v>#REF!</v>
      </c>
      <c r="CS10" t="e">
        <f>AND(#REF!,"AAAAAH7f/mA=")</f>
        <v>#REF!</v>
      </c>
      <c r="CT10" t="e">
        <f>AND(#REF!,"AAAAAH7f/mE=")</f>
        <v>#REF!</v>
      </c>
      <c r="CU10" t="e">
        <f>AND(#REF!,"AAAAAH7f/mI=")</f>
        <v>#REF!</v>
      </c>
      <c r="CV10" t="e">
        <f>AND(#REF!,"AAAAAH7f/mM=")</f>
        <v>#REF!</v>
      </c>
      <c r="CW10" t="e">
        <f>AND(#REF!,"AAAAAH7f/mQ=")</f>
        <v>#REF!</v>
      </c>
      <c r="CX10" t="e">
        <f>AND(#REF!,"AAAAAH7f/mU=")</f>
        <v>#REF!</v>
      </c>
      <c r="CY10" t="e">
        <f>AND(#REF!,"AAAAAH7f/mY=")</f>
        <v>#REF!</v>
      </c>
      <c r="CZ10" t="e">
        <f>AND(#REF!,"AAAAAH7f/mc=")</f>
        <v>#REF!</v>
      </c>
      <c r="DA10" t="e">
        <f>AND(#REF!,"AAAAAH7f/mg=")</f>
        <v>#REF!</v>
      </c>
      <c r="DB10" t="e">
        <f>AND(#REF!,"AAAAAH7f/mk=")</f>
        <v>#REF!</v>
      </c>
      <c r="DC10" t="e">
        <f>AND(#REF!,"AAAAAH7f/mo=")</f>
        <v>#REF!</v>
      </c>
      <c r="DD10" t="e">
        <f>AND(#REF!,"AAAAAH7f/ms=")</f>
        <v>#REF!</v>
      </c>
      <c r="DE10" t="e">
        <f>AND(#REF!,"AAAAAH7f/mw=")</f>
        <v>#REF!</v>
      </c>
      <c r="DF10" t="e">
        <f>AND(#REF!,"AAAAAH7f/m0=")</f>
        <v>#REF!</v>
      </c>
      <c r="DG10" t="e">
        <f>AND(#REF!,"AAAAAH7f/m4=")</f>
        <v>#REF!</v>
      </c>
      <c r="DH10" t="e">
        <f>AND(#REF!,"AAAAAH7f/m8=")</f>
        <v>#REF!</v>
      </c>
      <c r="DI10" t="e">
        <f>AND(#REF!,"AAAAAH7f/nA=")</f>
        <v>#REF!</v>
      </c>
      <c r="DJ10" t="e">
        <f>AND(#REF!,"AAAAAH7f/nE=")</f>
        <v>#REF!</v>
      </c>
      <c r="DK10" t="e">
        <f>AND(#REF!,"AAAAAH7f/nI=")</f>
        <v>#REF!</v>
      </c>
      <c r="DL10" t="e">
        <f>AND(#REF!,"AAAAAH7f/nM=")</f>
        <v>#REF!</v>
      </c>
      <c r="DM10" t="e">
        <f>AND(#REF!,"AAAAAH7f/nQ=")</f>
        <v>#REF!</v>
      </c>
      <c r="DN10" t="e">
        <f>AND(#REF!,"AAAAAH7f/nU=")</f>
        <v>#REF!</v>
      </c>
      <c r="DO10" t="e">
        <f>IF(#REF!,"AAAAAH7f/nY=",0)</f>
        <v>#REF!</v>
      </c>
      <c r="DP10" t="e">
        <f>AND(#REF!,"AAAAAH7f/nc=")</f>
        <v>#REF!</v>
      </c>
      <c r="DQ10" t="e">
        <f>AND(#REF!,"AAAAAH7f/ng=")</f>
        <v>#REF!</v>
      </c>
      <c r="DR10" t="e">
        <f>AND(#REF!,"AAAAAH7f/nk=")</f>
        <v>#REF!</v>
      </c>
      <c r="DS10" t="e">
        <f>AND(#REF!,"AAAAAH7f/no=")</f>
        <v>#REF!</v>
      </c>
      <c r="DT10" t="e">
        <f>AND(#REF!,"AAAAAH7f/ns=")</f>
        <v>#REF!</v>
      </c>
      <c r="DU10" t="e">
        <f>AND(#REF!,"AAAAAH7f/nw=")</f>
        <v>#REF!</v>
      </c>
      <c r="DV10" t="e">
        <f>AND(#REF!,"AAAAAH7f/n0=")</f>
        <v>#REF!</v>
      </c>
      <c r="DW10" t="e">
        <f>AND(#REF!,"AAAAAH7f/n4=")</f>
        <v>#REF!</v>
      </c>
      <c r="DX10" t="e">
        <f>AND(#REF!,"AAAAAH7f/n8=")</f>
        <v>#REF!</v>
      </c>
      <c r="DY10" t="e">
        <f>AND(#REF!,"AAAAAH7f/oA=")</f>
        <v>#REF!</v>
      </c>
      <c r="DZ10" t="e">
        <f>AND(#REF!,"AAAAAH7f/oE=")</f>
        <v>#REF!</v>
      </c>
      <c r="EA10" t="e">
        <f>AND(#REF!,"AAAAAH7f/oI=")</f>
        <v>#REF!</v>
      </c>
      <c r="EB10" t="e">
        <f>AND(#REF!,"AAAAAH7f/oM=")</f>
        <v>#REF!</v>
      </c>
      <c r="EC10" t="e">
        <f>AND(#REF!,"AAAAAH7f/oQ=")</f>
        <v>#REF!</v>
      </c>
      <c r="ED10" t="e">
        <f>AND(#REF!,"AAAAAH7f/oU=")</f>
        <v>#REF!</v>
      </c>
      <c r="EE10" t="e">
        <f>AND(#REF!,"AAAAAH7f/oY=")</f>
        <v>#REF!</v>
      </c>
      <c r="EF10" t="e">
        <f>AND(#REF!,"AAAAAH7f/oc=")</f>
        <v>#REF!</v>
      </c>
      <c r="EG10" t="e">
        <f>AND(#REF!,"AAAAAH7f/og=")</f>
        <v>#REF!</v>
      </c>
      <c r="EH10" t="e">
        <f>AND(#REF!,"AAAAAH7f/ok=")</f>
        <v>#REF!</v>
      </c>
      <c r="EI10" t="e">
        <f>AND(#REF!,"AAAAAH7f/oo=")</f>
        <v>#REF!</v>
      </c>
      <c r="EJ10" t="e">
        <f>AND(#REF!,"AAAAAH7f/os=")</f>
        <v>#REF!</v>
      </c>
      <c r="EK10" t="e">
        <f>AND(#REF!,"AAAAAH7f/ow=")</f>
        <v>#REF!</v>
      </c>
      <c r="EL10" t="e">
        <f>IF(#REF!,"AAAAAH7f/o0=",0)</f>
        <v>#REF!</v>
      </c>
      <c r="EM10" t="e">
        <f>AND(#REF!,"AAAAAH7f/o4=")</f>
        <v>#REF!</v>
      </c>
      <c r="EN10" t="e">
        <f>AND(#REF!,"AAAAAH7f/o8=")</f>
        <v>#REF!</v>
      </c>
      <c r="EO10" t="e">
        <f>AND(#REF!,"AAAAAH7f/pA=")</f>
        <v>#REF!</v>
      </c>
      <c r="EP10" t="e">
        <f>AND(#REF!,"AAAAAH7f/pE=")</f>
        <v>#REF!</v>
      </c>
      <c r="EQ10" t="e">
        <f>AND(#REF!,"AAAAAH7f/pI=")</f>
        <v>#REF!</v>
      </c>
      <c r="ER10" t="e">
        <f>AND(#REF!,"AAAAAH7f/pM=")</f>
        <v>#REF!</v>
      </c>
      <c r="ES10" t="e">
        <f>AND(#REF!,"AAAAAH7f/pQ=")</f>
        <v>#REF!</v>
      </c>
      <c r="ET10" t="e">
        <f>AND(#REF!,"AAAAAH7f/pU=")</f>
        <v>#REF!</v>
      </c>
      <c r="EU10" t="e">
        <f>AND(#REF!,"AAAAAH7f/pY=")</f>
        <v>#REF!</v>
      </c>
      <c r="EV10" t="e">
        <f>AND(#REF!,"AAAAAH7f/pc=")</f>
        <v>#REF!</v>
      </c>
      <c r="EW10" t="e">
        <f>AND(#REF!,"AAAAAH7f/pg=")</f>
        <v>#REF!</v>
      </c>
      <c r="EX10" t="e">
        <f>AND(#REF!,"AAAAAH7f/pk=")</f>
        <v>#REF!</v>
      </c>
      <c r="EY10" t="e">
        <f>AND(#REF!,"AAAAAH7f/po=")</f>
        <v>#REF!</v>
      </c>
      <c r="EZ10" t="e">
        <f>AND(#REF!,"AAAAAH7f/ps=")</f>
        <v>#REF!</v>
      </c>
      <c r="FA10" t="e">
        <f>AND(#REF!,"AAAAAH7f/pw=")</f>
        <v>#REF!</v>
      </c>
      <c r="FB10" t="e">
        <f>AND(#REF!,"AAAAAH7f/p0=")</f>
        <v>#REF!</v>
      </c>
      <c r="FC10" t="e">
        <f>AND(#REF!,"AAAAAH7f/p4=")</f>
        <v>#REF!</v>
      </c>
      <c r="FD10" t="e">
        <f>AND(#REF!,"AAAAAH7f/p8=")</f>
        <v>#REF!</v>
      </c>
      <c r="FE10" t="e">
        <f>AND(#REF!,"AAAAAH7f/qA=")</f>
        <v>#REF!</v>
      </c>
      <c r="FF10" t="e">
        <f>AND(#REF!,"AAAAAH7f/qE=")</f>
        <v>#REF!</v>
      </c>
      <c r="FG10" t="e">
        <f>AND(#REF!,"AAAAAH7f/qI=")</f>
        <v>#REF!</v>
      </c>
      <c r="FH10" t="e">
        <f>AND(#REF!,"AAAAAH7f/qM=")</f>
        <v>#REF!</v>
      </c>
      <c r="FI10" t="e">
        <f>IF(#REF!,"AAAAAH7f/qQ=",0)</f>
        <v>#REF!</v>
      </c>
      <c r="FJ10" t="e">
        <f>AND(#REF!,"AAAAAH7f/qU=")</f>
        <v>#REF!</v>
      </c>
      <c r="FK10" t="e">
        <f>AND(#REF!,"AAAAAH7f/qY=")</f>
        <v>#REF!</v>
      </c>
      <c r="FL10" t="e">
        <f>AND(#REF!,"AAAAAH7f/qc=")</f>
        <v>#REF!</v>
      </c>
      <c r="FM10" t="e">
        <f>AND(#REF!,"AAAAAH7f/qg=")</f>
        <v>#REF!</v>
      </c>
      <c r="FN10" t="e">
        <f>AND(#REF!,"AAAAAH7f/qk=")</f>
        <v>#REF!</v>
      </c>
      <c r="FO10" t="e">
        <f>AND(#REF!,"AAAAAH7f/qo=")</f>
        <v>#REF!</v>
      </c>
      <c r="FP10" t="e">
        <f>AND(#REF!,"AAAAAH7f/qs=")</f>
        <v>#REF!</v>
      </c>
      <c r="FQ10" t="e">
        <f>AND(#REF!,"AAAAAH7f/qw=")</f>
        <v>#REF!</v>
      </c>
      <c r="FR10" t="e">
        <f>AND(#REF!,"AAAAAH7f/q0=")</f>
        <v>#REF!</v>
      </c>
      <c r="FS10" t="e">
        <f>AND(#REF!,"AAAAAH7f/q4=")</f>
        <v>#REF!</v>
      </c>
      <c r="FT10" t="e">
        <f>AND(#REF!,"AAAAAH7f/q8=")</f>
        <v>#REF!</v>
      </c>
      <c r="FU10" t="e">
        <f>AND(#REF!,"AAAAAH7f/rA=")</f>
        <v>#REF!</v>
      </c>
      <c r="FV10" t="e">
        <f>AND(#REF!,"AAAAAH7f/rE=")</f>
        <v>#REF!</v>
      </c>
      <c r="FW10" t="e">
        <f>AND(#REF!,"AAAAAH7f/rI=")</f>
        <v>#REF!</v>
      </c>
      <c r="FX10" t="e">
        <f>AND(#REF!,"AAAAAH7f/rM=")</f>
        <v>#REF!</v>
      </c>
      <c r="FY10" t="e">
        <f>AND(#REF!,"AAAAAH7f/rQ=")</f>
        <v>#REF!</v>
      </c>
      <c r="FZ10" t="e">
        <f>AND(#REF!,"AAAAAH7f/rU=")</f>
        <v>#REF!</v>
      </c>
      <c r="GA10" t="e">
        <f>AND(#REF!,"AAAAAH7f/rY=")</f>
        <v>#REF!</v>
      </c>
      <c r="GB10" t="e">
        <f>AND(#REF!,"AAAAAH7f/rc=")</f>
        <v>#REF!</v>
      </c>
      <c r="GC10" t="e">
        <f>AND(#REF!,"AAAAAH7f/rg=")</f>
        <v>#REF!</v>
      </c>
      <c r="GD10" t="e">
        <f>AND(#REF!,"AAAAAH7f/rk=")</f>
        <v>#REF!</v>
      </c>
      <c r="GE10" t="e">
        <f>AND(#REF!,"AAAAAH7f/ro=")</f>
        <v>#REF!</v>
      </c>
      <c r="GF10" t="e">
        <f>IF(#REF!,"AAAAAH7f/rs=",0)</f>
        <v>#REF!</v>
      </c>
      <c r="GG10" t="e">
        <f>AND(#REF!,"AAAAAH7f/rw=")</f>
        <v>#REF!</v>
      </c>
      <c r="GH10" t="e">
        <f>AND(#REF!,"AAAAAH7f/r0=")</f>
        <v>#REF!</v>
      </c>
      <c r="GI10" t="e">
        <f>AND(#REF!,"AAAAAH7f/r4=")</f>
        <v>#REF!</v>
      </c>
      <c r="GJ10" t="e">
        <f>AND(#REF!,"AAAAAH7f/r8=")</f>
        <v>#REF!</v>
      </c>
      <c r="GK10" t="e">
        <f>AND(#REF!,"AAAAAH7f/sA=")</f>
        <v>#REF!</v>
      </c>
      <c r="GL10" t="e">
        <f>AND(#REF!,"AAAAAH7f/sE=")</f>
        <v>#REF!</v>
      </c>
      <c r="GM10" t="e">
        <f>AND(#REF!,"AAAAAH7f/sI=")</f>
        <v>#REF!</v>
      </c>
      <c r="GN10" t="e">
        <f>AND(#REF!,"AAAAAH7f/sM=")</f>
        <v>#REF!</v>
      </c>
      <c r="GO10" t="e">
        <f>AND(#REF!,"AAAAAH7f/sQ=")</f>
        <v>#REF!</v>
      </c>
      <c r="GP10" t="e">
        <f>AND(#REF!,"AAAAAH7f/sU=")</f>
        <v>#REF!</v>
      </c>
      <c r="GQ10" t="e">
        <f>AND(#REF!,"AAAAAH7f/sY=")</f>
        <v>#REF!</v>
      </c>
      <c r="GR10" t="e">
        <f>AND(#REF!,"AAAAAH7f/sc=")</f>
        <v>#REF!</v>
      </c>
      <c r="GS10" t="e">
        <f>AND(#REF!,"AAAAAH7f/sg=")</f>
        <v>#REF!</v>
      </c>
      <c r="GT10" t="e">
        <f>AND(#REF!,"AAAAAH7f/sk=")</f>
        <v>#REF!</v>
      </c>
      <c r="GU10" t="e">
        <f>AND(#REF!,"AAAAAH7f/so=")</f>
        <v>#REF!</v>
      </c>
      <c r="GV10" t="e">
        <f>AND(#REF!,"AAAAAH7f/ss=")</f>
        <v>#REF!</v>
      </c>
      <c r="GW10" t="e">
        <f>AND(#REF!,"AAAAAH7f/sw=")</f>
        <v>#REF!</v>
      </c>
      <c r="GX10" t="e">
        <f>AND(#REF!,"AAAAAH7f/s0=")</f>
        <v>#REF!</v>
      </c>
      <c r="GY10" t="e">
        <f>AND(#REF!,"AAAAAH7f/s4=")</f>
        <v>#REF!</v>
      </c>
      <c r="GZ10" t="e">
        <f>AND(#REF!,"AAAAAH7f/s8=")</f>
        <v>#REF!</v>
      </c>
      <c r="HA10" t="e">
        <f>AND(#REF!,"AAAAAH7f/tA=")</f>
        <v>#REF!</v>
      </c>
      <c r="HB10" t="e">
        <f>AND(#REF!,"AAAAAH7f/tE=")</f>
        <v>#REF!</v>
      </c>
      <c r="HC10" t="e">
        <f>IF(#REF!,"AAAAAH7f/tI=",0)</f>
        <v>#REF!</v>
      </c>
      <c r="HD10" t="e">
        <f>AND(#REF!,"AAAAAH7f/tM=")</f>
        <v>#REF!</v>
      </c>
      <c r="HE10" t="e">
        <f>AND(#REF!,"AAAAAH7f/tQ=")</f>
        <v>#REF!</v>
      </c>
      <c r="HF10" t="e">
        <f>AND(#REF!,"AAAAAH7f/tU=")</f>
        <v>#REF!</v>
      </c>
      <c r="HG10" t="e">
        <f>AND(#REF!,"AAAAAH7f/tY=")</f>
        <v>#REF!</v>
      </c>
      <c r="HH10" t="e">
        <f>AND(#REF!,"AAAAAH7f/tc=")</f>
        <v>#REF!</v>
      </c>
      <c r="HI10" t="e">
        <f>AND(#REF!,"AAAAAH7f/tg=")</f>
        <v>#REF!</v>
      </c>
      <c r="HJ10" t="e">
        <f>AND(#REF!,"AAAAAH7f/tk=")</f>
        <v>#REF!</v>
      </c>
      <c r="HK10" t="e">
        <f>AND(#REF!,"AAAAAH7f/to=")</f>
        <v>#REF!</v>
      </c>
      <c r="HL10" t="e">
        <f>AND(#REF!,"AAAAAH7f/ts=")</f>
        <v>#REF!</v>
      </c>
      <c r="HM10" t="e">
        <f>AND(#REF!,"AAAAAH7f/tw=")</f>
        <v>#REF!</v>
      </c>
      <c r="HN10" t="e">
        <f>AND(#REF!,"AAAAAH7f/t0=")</f>
        <v>#REF!</v>
      </c>
      <c r="HO10" t="e">
        <f>AND(#REF!,"AAAAAH7f/t4=")</f>
        <v>#REF!</v>
      </c>
      <c r="HP10" t="e">
        <f>AND(#REF!,"AAAAAH7f/t8=")</f>
        <v>#REF!</v>
      </c>
      <c r="HQ10" t="e">
        <f>AND(#REF!,"AAAAAH7f/uA=")</f>
        <v>#REF!</v>
      </c>
      <c r="HR10" t="e">
        <f>AND(#REF!,"AAAAAH7f/uE=")</f>
        <v>#REF!</v>
      </c>
      <c r="HS10" t="e">
        <f>AND(#REF!,"AAAAAH7f/uI=")</f>
        <v>#REF!</v>
      </c>
      <c r="HT10" t="e">
        <f>AND(#REF!,"AAAAAH7f/uM=")</f>
        <v>#REF!</v>
      </c>
      <c r="HU10" t="e">
        <f>AND(#REF!,"AAAAAH7f/uQ=")</f>
        <v>#REF!</v>
      </c>
      <c r="HV10" t="e">
        <f>AND(#REF!,"AAAAAH7f/uU=")</f>
        <v>#REF!</v>
      </c>
      <c r="HW10" t="e">
        <f>AND(#REF!,"AAAAAH7f/uY=")</f>
        <v>#REF!</v>
      </c>
      <c r="HX10" t="e">
        <f>AND(#REF!,"AAAAAH7f/uc=")</f>
        <v>#REF!</v>
      </c>
      <c r="HY10" t="e">
        <f>AND(#REF!,"AAAAAH7f/ug=")</f>
        <v>#REF!</v>
      </c>
      <c r="HZ10" t="e">
        <f>IF(#REF!,"AAAAAH7f/uk=",0)</f>
        <v>#REF!</v>
      </c>
      <c r="IA10" t="e">
        <f>AND(#REF!,"AAAAAH7f/uo=")</f>
        <v>#REF!</v>
      </c>
      <c r="IB10" t="e">
        <f>AND(#REF!,"AAAAAH7f/us=")</f>
        <v>#REF!</v>
      </c>
      <c r="IC10" t="e">
        <f>AND(#REF!,"AAAAAH7f/uw=")</f>
        <v>#REF!</v>
      </c>
      <c r="ID10" t="e">
        <f>AND(#REF!,"AAAAAH7f/u0=")</f>
        <v>#REF!</v>
      </c>
      <c r="IE10" t="e">
        <f>AND(#REF!,"AAAAAH7f/u4=")</f>
        <v>#REF!</v>
      </c>
      <c r="IF10" t="e">
        <f>AND(#REF!,"AAAAAH7f/u8=")</f>
        <v>#REF!</v>
      </c>
      <c r="IG10" t="e">
        <f>AND(#REF!,"AAAAAH7f/vA=")</f>
        <v>#REF!</v>
      </c>
      <c r="IH10" t="e">
        <f>AND(#REF!,"AAAAAH7f/vE=")</f>
        <v>#REF!</v>
      </c>
      <c r="II10" t="e">
        <f>AND(#REF!,"AAAAAH7f/vI=")</f>
        <v>#REF!</v>
      </c>
      <c r="IJ10" t="e">
        <f>AND(#REF!,"AAAAAH7f/vM=")</f>
        <v>#REF!</v>
      </c>
      <c r="IK10" t="e">
        <f>AND(#REF!,"AAAAAH7f/vQ=")</f>
        <v>#REF!</v>
      </c>
      <c r="IL10" t="e">
        <f>AND(#REF!,"AAAAAH7f/vU=")</f>
        <v>#REF!</v>
      </c>
      <c r="IM10" t="e">
        <f>AND(#REF!,"AAAAAH7f/vY=")</f>
        <v>#REF!</v>
      </c>
      <c r="IN10" t="e">
        <f>AND(#REF!,"AAAAAH7f/vc=")</f>
        <v>#REF!</v>
      </c>
      <c r="IO10" t="e">
        <f>AND(#REF!,"AAAAAH7f/vg=")</f>
        <v>#REF!</v>
      </c>
      <c r="IP10" t="e">
        <f>AND(#REF!,"AAAAAH7f/vk=")</f>
        <v>#REF!</v>
      </c>
      <c r="IQ10" t="e">
        <f>AND(#REF!,"AAAAAH7f/vo=")</f>
        <v>#REF!</v>
      </c>
      <c r="IR10" t="e">
        <f>AND(#REF!,"AAAAAH7f/vs=")</f>
        <v>#REF!</v>
      </c>
      <c r="IS10" t="e">
        <f>AND(#REF!,"AAAAAH7f/vw=")</f>
        <v>#REF!</v>
      </c>
      <c r="IT10" t="e">
        <f>AND(#REF!,"AAAAAH7f/v0=")</f>
        <v>#REF!</v>
      </c>
      <c r="IU10" t="e">
        <f>AND(#REF!,"AAAAAH7f/v4=")</f>
        <v>#REF!</v>
      </c>
      <c r="IV10" t="e">
        <f>AND(#REF!,"AAAAAH7f/v8=")</f>
        <v>#REF!</v>
      </c>
    </row>
    <row r="11" spans="1:256" ht="15">
      <c r="A11" t="e">
        <f>IF(#REF!,"AAAAAG+97QA=",0)</f>
        <v>#REF!</v>
      </c>
      <c r="B11" t="e">
        <f>AND(#REF!,"AAAAAG+97QE=")</f>
        <v>#REF!</v>
      </c>
      <c r="C11" t="e">
        <f>AND(#REF!,"AAAAAG+97QI=")</f>
        <v>#REF!</v>
      </c>
      <c r="D11" t="e">
        <f>AND(#REF!,"AAAAAG+97QM=")</f>
        <v>#REF!</v>
      </c>
      <c r="E11" t="e">
        <f>AND(#REF!,"AAAAAG+97QQ=")</f>
        <v>#REF!</v>
      </c>
      <c r="F11" t="e">
        <f>AND(#REF!,"AAAAAG+97QU=")</f>
        <v>#REF!</v>
      </c>
      <c r="G11" t="e">
        <f>AND(#REF!,"AAAAAG+97QY=")</f>
        <v>#REF!</v>
      </c>
      <c r="H11" t="e">
        <f>AND(#REF!,"AAAAAG+97Qc=")</f>
        <v>#REF!</v>
      </c>
      <c r="I11" t="e">
        <f>AND(#REF!,"AAAAAG+97Qg=")</f>
        <v>#REF!</v>
      </c>
      <c r="J11" t="e">
        <f>AND(#REF!,"AAAAAG+97Qk=")</f>
        <v>#REF!</v>
      </c>
      <c r="K11" t="e">
        <f>AND(#REF!,"AAAAAG+97Qo=")</f>
        <v>#REF!</v>
      </c>
      <c r="L11" t="e">
        <f>AND(#REF!,"AAAAAG+97Qs=")</f>
        <v>#REF!</v>
      </c>
      <c r="M11" t="e">
        <f>AND(#REF!,"AAAAAG+97Qw=")</f>
        <v>#REF!</v>
      </c>
      <c r="N11" t="e">
        <f>AND(#REF!,"AAAAAG+97Q0=")</f>
        <v>#REF!</v>
      </c>
      <c r="O11" t="e">
        <f>AND(#REF!,"AAAAAG+97Q4=")</f>
        <v>#REF!</v>
      </c>
      <c r="P11" t="e">
        <f>AND(#REF!,"AAAAAG+97Q8=")</f>
        <v>#REF!</v>
      </c>
      <c r="Q11" t="e">
        <f>AND(#REF!,"AAAAAG+97RA=")</f>
        <v>#REF!</v>
      </c>
      <c r="R11" t="e">
        <f>AND(#REF!,"AAAAAG+97RE=")</f>
        <v>#REF!</v>
      </c>
      <c r="S11" t="e">
        <f>AND(#REF!,"AAAAAG+97RI=")</f>
        <v>#REF!</v>
      </c>
      <c r="T11" t="e">
        <f>AND(#REF!,"AAAAAG+97RM=")</f>
        <v>#REF!</v>
      </c>
      <c r="U11" t="e">
        <f>AND(#REF!,"AAAAAG+97RQ=")</f>
        <v>#REF!</v>
      </c>
      <c r="V11" t="e">
        <f>AND(#REF!,"AAAAAG+97RU=")</f>
        <v>#REF!</v>
      </c>
      <c r="W11" t="e">
        <f>AND(#REF!,"AAAAAG+97RY=")</f>
        <v>#REF!</v>
      </c>
      <c r="X11" t="e">
        <f>IF(#REF!,"AAAAAG+97Rc=",0)</f>
        <v>#REF!</v>
      </c>
      <c r="Y11" t="e">
        <f>AND(#REF!,"AAAAAG+97Rg=")</f>
        <v>#REF!</v>
      </c>
      <c r="Z11" t="e">
        <f>AND(#REF!,"AAAAAG+97Rk=")</f>
        <v>#REF!</v>
      </c>
      <c r="AA11" t="e">
        <f>AND(#REF!,"AAAAAG+97Ro=")</f>
        <v>#REF!</v>
      </c>
      <c r="AB11" t="e">
        <f>AND(#REF!,"AAAAAG+97Rs=")</f>
        <v>#REF!</v>
      </c>
      <c r="AC11" t="e">
        <f>AND(#REF!,"AAAAAG+97Rw=")</f>
        <v>#REF!</v>
      </c>
      <c r="AD11" t="e">
        <f>AND(#REF!,"AAAAAG+97R0=")</f>
        <v>#REF!</v>
      </c>
      <c r="AE11" t="e">
        <f>AND(#REF!,"AAAAAG+97R4=")</f>
        <v>#REF!</v>
      </c>
      <c r="AF11" t="e">
        <f>AND(#REF!,"AAAAAG+97R8=")</f>
        <v>#REF!</v>
      </c>
      <c r="AG11" t="e">
        <f>AND(#REF!,"AAAAAG+97SA=")</f>
        <v>#REF!</v>
      </c>
      <c r="AH11" t="e">
        <f>AND(#REF!,"AAAAAG+97SE=")</f>
        <v>#REF!</v>
      </c>
      <c r="AI11" t="e">
        <f>AND(#REF!,"AAAAAG+97SI=")</f>
        <v>#REF!</v>
      </c>
      <c r="AJ11" t="e">
        <f>AND(#REF!,"AAAAAG+97SM=")</f>
        <v>#REF!</v>
      </c>
      <c r="AK11" t="e">
        <f>AND(#REF!,"AAAAAG+97SQ=")</f>
        <v>#REF!</v>
      </c>
      <c r="AL11" t="e">
        <f>AND(#REF!,"AAAAAG+97SU=")</f>
        <v>#REF!</v>
      </c>
      <c r="AM11" t="e">
        <f>AND(#REF!,"AAAAAG+97SY=")</f>
        <v>#REF!</v>
      </c>
      <c r="AN11" t="e">
        <f>AND(#REF!,"AAAAAG+97Sc=")</f>
        <v>#REF!</v>
      </c>
      <c r="AO11" t="e">
        <f>AND(#REF!,"AAAAAG+97Sg=")</f>
        <v>#REF!</v>
      </c>
      <c r="AP11" t="e">
        <f>AND(#REF!,"AAAAAG+97Sk=")</f>
        <v>#REF!</v>
      </c>
      <c r="AQ11" t="e">
        <f>AND(#REF!,"AAAAAG+97So=")</f>
        <v>#REF!</v>
      </c>
      <c r="AR11" t="e">
        <f>AND(#REF!,"AAAAAG+97Ss=")</f>
        <v>#REF!</v>
      </c>
      <c r="AS11" t="e">
        <f>AND(#REF!,"AAAAAG+97Sw=")</f>
        <v>#REF!</v>
      </c>
      <c r="AT11" t="e">
        <f>AND(#REF!,"AAAAAG+97S0=")</f>
        <v>#REF!</v>
      </c>
      <c r="AU11" t="e">
        <f>IF(#REF!,"AAAAAG+97S4=",0)</f>
        <v>#REF!</v>
      </c>
      <c r="AV11" t="e">
        <f>AND(#REF!,"AAAAAG+97S8=")</f>
        <v>#REF!</v>
      </c>
      <c r="AW11" t="e">
        <f>AND(#REF!,"AAAAAG+97TA=")</f>
        <v>#REF!</v>
      </c>
      <c r="AX11" t="e">
        <f>AND(#REF!,"AAAAAG+97TE=")</f>
        <v>#REF!</v>
      </c>
      <c r="AY11" t="e">
        <f>AND(#REF!,"AAAAAG+97TI=")</f>
        <v>#REF!</v>
      </c>
      <c r="AZ11" t="e">
        <f>AND(#REF!,"AAAAAG+97TM=")</f>
        <v>#REF!</v>
      </c>
      <c r="BA11" t="e">
        <f>AND(#REF!,"AAAAAG+97TQ=")</f>
        <v>#REF!</v>
      </c>
      <c r="BB11" t="e">
        <f>AND(#REF!,"AAAAAG+97TU=")</f>
        <v>#REF!</v>
      </c>
      <c r="BC11" t="e">
        <f>AND(#REF!,"AAAAAG+97TY=")</f>
        <v>#REF!</v>
      </c>
      <c r="BD11" t="e">
        <f>AND(#REF!,"AAAAAG+97Tc=")</f>
        <v>#REF!</v>
      </c>
      <c r="BE11" t="e">
        <f>AND(#REF!,"AAAAAG+97Tg=")</f>
        <v>#REF!</v>
      </c>
      <c r="BF11" t="e">
        <f>AND(#REF!,"AAAAAG+97Tk=")</f>
        <v>#REF!</v>
      </c>
      <c r="BG11" t="e">
        <f>AND(#REF!,"AAAAAG+97To=")</f>
        <v>#REF!</v>
      </c>
      <c r="BH11" t="e">
        <f>AND(#REF!,"AAAAAG+97Ts=")</f>
        <v>#REF!</v>
      </c>
      <c r="BI11" t="e">
        <f>AND(#REF!,"AAAAAG+97Tw=")</f>
        <v>#REF!</v>
      </c>
      <c r="BJ11" t="e">
        <f>AND(#REF!,"AAAAAG+97T0=")</f>
        <v>#REF!</v>
      </c>
      <c r="BK11" t="e">
        <f>AND(#REF!,"AAAAAG+97T4=")</f>
        <v>#REF!</v>
      </c>
      <c r="BL11" t="e">
        <f>AND(#REF!,"AAAAAG+97T8=")</f>
        <v>#REF!</v>
      </c>
      <c r="BM11" t="e">
        <f>AND(#REF!,"AAAAAG+97UA=")</f>
        <v>#REF!</v>
      </c>
      <c r="BN11" t="e">
        <f>AND(#REF!,"AAAAAG+97UE=")</f>
        <v>#REF!</v>
      </c>
      <c r="BO11" t="e">
        <f>AND(#REF!,"AAAAAG+97UI=")</f>
        <v>#REF!</v>
      </c>
      <c r="BP11" t="e">
        <f>AND(#REF!,"AAAAAG+97UM=")</f>
        <v>#REF!</v>
      </c>
      <c r="BQ11" t="e">
        <f>AND(#REF!,"AAAAAG+97UQ=")</f>
        <v>#REF!</v>
      </c>
      <c r="BR11" t="e">
        <f>IF(#REF!,"AAAAAG+97UU=",0)</f>
        <v>#REF!</v>
      </c>
      <c r="BS11" t="e">
        <f>AND(#REF!,"AAAAAG+97UY=")</f>
        <v>#REF!</v>
      </c>
      <c r="BT11" t="e">
        <f>AND(#REF!,"AAAAAG+97Uc=")</f>
        <v>#REF!</v>
      </c>
      <c r="BU11" t="e">
        <f>AND(#REF!,"AAAAAG+97Ug=")</f>
        <v>#REF!</v>
      </c>
      <c r="BV11" t="e">
        <f>AND(#REF!,"AAAAAG+97Uk=")</f>
        <v>#REF!</v>
      </c>
      <c r="BW11" t="e">
        <f>AND(#REF!,"AAAAAG+97Uo=")</f>
        <v>#REF!</v>
      </c>
      <c r="BX11" t="e">
        <f>AND(#REF!,"AAAAAG+97Us=")</f>
        <v>#REF!</v>
      </c>
      <c r="BY11" t="e">
        <f>AND(#REF!,"AAAAAG+97Uw=")</f>
        <v>#REF!</v>
      </c>
      <c r="BZ11" t="e">
        <f>AND(#REF!,"AAAAAG+97U0=")</f>
        <v>#REF!</v>
      </c>
      <c r="CA11" t="e">
        <f>AND(#REF!,"AAAAAG+97U4=")</f>
        <v>#REF!</v>
      </c>
      <c r="CB11" t="e">
        <f>AND(#REF!,"AAAAAG+97U8=")</f>
        <v>#REF!</v>
      </c>
      <c r="CC11" t="e">
        <f>AND(#REF!,"AAAAAG+97VA=")</f>
        <v>#REF!</v>
      </c>
      <c r="CD11" t="e">
        <f>AND(#REF!,"AAAAAG+97VE=")</f>
        <v>#REF!</v>
      </c>
      <c r="CE11" t="e">
        <f>AND(#REF!,"AAAAAG+97VI=")</f>
        <v>#REF!</v>
      </c>
      <c r="CF11" t="e">
        <f>AND(#REF!,"AAAAAG+97VM=")</f>
        <v>#REF!</v>
      </c>
      <c r="CG11" t="e">
        <f>AND(#REF!,"AAAAAG+97VQ=")</f>
        <v>#REF!</v>
      </c>
      <c r="CH11" t="e">
        <f>AND(#REF!,"AAAAAG+97VU=")</f>
        <v>#REF!</v>
      </c>
      <c r="CI11" t="e">
        <f>AND(#REF!,"AAAAAG+97VY=")</f>
        <v>#REF!</v>
      </c>
      <c r="CJ11" t="e">
        <f>AND(#REF!,"AAAAAG+97Vc=")</f>
        <v>#REF!</v>
      </c>
      <c r="CK11" t="e">
        <f>AND(#REF!,"AAAAAG+97Vg=")</f>
        <v>#REF!</v>
      </c>
      <c r="CL11" t="e">
        <f>AND(#REF!,"AAAAAG+97Vk=")</f>
        <v>#REF!</v>
      </c>
      <c r="CM11" t="e">
        <f>AND(#REF!,"AAAAAG+97Vo=")</f>
        <v>#REF!</v>
      </c>
      <c r="CN11" t="e">
        <f>AND(#REF!,"AAAAAG+97Vs=")</f>
        <v>#REF!</v>
      </c>
      <c r="CO11" t="e">
        <f>IF(#REF!,"AAAAAG+97Vw=",0)</f>
        <v>#REF!</v>
      </c>
      <c r="CP11" t="e">
        <f>AND(#REF!,"AAAAAG+97V0=")</f>
        <v>#REF!</v>
      </c>
      <c r="CQ11" t="e">
        <f>AND(#REF!,"AAAAAG+97V4=")</f>
        <v>#REF!</v>
      </c>
      <c r="CR11" t="e">
        <f>AND(#REF!,"AAAAAG+97V8=")</f>
        <v>#REF!</v>
      </c>
      <c r="CS11" t="e">
        <f>AND(#REF!,"AAAAAG+97WA=")</f>
        <v>#REF!</v>
      </c>
      <c r="CT11" t="e">
        <f>AND(#REF!,"AAAAAG+97WE=")</f>
        <v>#REF!</v>
      </c>
      <c r="CU11" t="e">
        <f>AND(#REF!,"AAAAAG+97WI=")</f>
        <v>#REF!</v>
      </c>
      <c r="CV11" t="e">
        <f>AND(#REF!,"AAAAAG+97WM=")</f>
        <v>#REF!</v>
      </c>
      <c r="CW11" t="e">
        <f>AND(#REF!,"AAAAAG+97WQ=")</f>
        <v>#REF!</v>
      </c>
      <c r="CX11" t="e">
        <f>AND(#REF!,"AAAAAG+97WU=")</f>
        <v>#REF!</v>
      </c>
      <c r="CY11" t="e">
        <f>AND(#REF!,"AAAAAG+97WY=")</f>
        <v>#REF!</v>
      </c>
      <c r="CZ11" t="e">
        <f>AND(#REF!,"AAAAAG+97Wc=")</f>
        <v>#REF!</v>
      </c>
      <c r="DA11" t="e">
        <f>AND(#REF!,"AAAAAG+97Wg=")</f>
        <v>#REF!</v>
      </c>
      <c r="DB11" t="e">
        <f>AND(#REF!,"AAAAAG+97Wk=")</f>
        <v>#REF!</v>
      </c>
      <c r="DC11" t="e">
        <f>AND(#REF!,"AAAAAG+97Wo=")</f>
        <v>#REF!</v>
      </c>
      <c r="DD11" t="e">
        <f>AND(#REF!,"AAAAAG+97Ws=")</f>
        <v>#REF!</v>
      </c>
      <c r="DE11" t="e">
        <f>AND(#REF!,"AAAAAG+97Ww=")</f>
        <v>#REF!</v>
      </c>
      <c r="DF11" t="e">
        <f>AND(#REF!,"AAAAAG+97W0=")</f>
        <v>#REF!</v>
      </c>
      <c r="DG11" t="e">
        <f>AND(#REF!,"AAAAAG+97W4=")</f>
        <v>#REF!</v>
      </c>
      <c r="DH11" t="e">
        <f>AND(#REF!,"AAAAAG+97W8=")</f>
        <v>#REF!</v>
      </c>
      <c r="DI11" t="e">
        <f>AND(#REF!,"AAAAAG+97XA=")</f>
        <v>#REF!</v>
      </c>
      <c r="DJ11" t="e">
        <f>AND(#REF!,"AAAAAG+97XE=")</f>
        <v>#REF!</v>
      </c>
      <c r="DK11" t="e">
        <f>AND(#REF!,"AAAAAG+97XI=")</f>
        <v>#REF!</v>
      </c>
      <c r="DL11" t="e">
        <f>IF(#REF!,"AAAAAG+97XM=",0)</f>
        <v>#REF!</v>
      </c>
      <c r="DM11" t="e">
        <f>AND(#REF!,"AAAAAG+97XQ=")</f>
        <v>#REF!</v>
      </c>
      <c r="DN11" t="e">
        <f>AND(#REF!,"AAAAAG+97XU=")</f>
        <v>#REF!</v>
      </c>
      <c r="DO11" t="e">
        <f>AND(#REF!,"AAAAAG+97XY=")</f>
        <v>#REF!</v>
      </c>
      <c r="DP11" t="e">
        <f>AND(#REF!,"AAAAAG+97Xc=")</f>
        <v>#REF!</v>
      </c>
      <c r="DQ11" t="e">
        <f>AND(#REF!,"AAAAAG+97Xg=")</f>
        <v>#REF!</v>
      </c>
      <c r="DR11" t="e">
        <f>AND(#REF!,"AAAAAG+97Xk=")</f>
        <v>#REF!</v>
      </c>
      <c r="DS11" t="e">
        <f>AND(#REF!,"AAAAAG+97Xo=")</f>
        <v>#REF!</v>
      </c>
      <c r="DT11" t="e">
        <f>AND(#REF!,"AAAAAG+97Xs=")</f>
        <v>#REF!</v>
      </c>
      <c r="DU11" t="e">
        <f>AND(#REF!,"AAAAAG+97Xw=")</f>
        <v>#REF!</v>
      </c>
      <c r="DV11" t="e">
        <f>AND(#REF!,"AAAAAG+97X0=")</f>
        <v>#REF!</v>
      </c>
      <c r="DW11" t="e">
        <f>AND(#REF!,"AAAAAG+97X4=")</f>
        <v>#REF!</v>
      </c>
      <c r="DX11" t="e">
        <f>AND(#REF!,"AAAAAG+97X8=")</f>
        <v>#REF!</v>
      </c>
      <c r="DY11" t="e">
        <f>AND(#REF!,"AAAAAG+97YA=")</f>
        <v>#REF!</v>
      </c>
      <c r="DZ11" t="e">
        <f>AND(#REF!,"AAAAAG+97YE=")</f>
        <v>#REF!</v>
      </c>
      <c r="EA11" t="e">
        <f>AND(#REF!,"AAAAAG+97YI=")</f>
        <v>#REF!</v>
      </c>
      <c r="EB11" t="e">
        <f>AND(#REF!,"AAAAAG+97YM=")</f>
        <v>#REF!</v>
      </c>
      <c r="EC11" t="e">
        <f>AND(#REF!,"AAAAAG+97YQ=")</f>
        <v>#REF!</v>
      </c>
      <c r="ED11" t="e">
        <f>AND(#REF!,"AAAAAG+97YU=")</f>
        <v>#REF!</v>
      </c>
      <c r="EE11" t="e">
        <f>AND(#REF!,"AAAAAG+97YY=")</f>
        <v>#REF!</v>
      </c>
      <c r="EF11" t="e">
        <f>AND(#REF!,"AAAAAG+97Yc=")</f>
        <v>#REF!</v>
      </c>
      <c r="EG11" t="e">
        <f>AND(#REF!,"AAAAAG+97Yg=")</f>
        <v>#REF!</v>
      </c>
      <c r="EH11" t="e">
        <f>AND(#REF!,"AAAAAG+97Yk=")</f>
        <v>#REF!</v>
      </c>
      <c r="EI11" t="e">
        <f>IF(#REF!,"AAAAAG+97Yo=",0)</f>
        <v>#REF!</v>
      </c>
      <c r="EJ11" t="e">
        <f>AND(#REF!,"AAAAAG+97Ys=")</f>
        <v>#REF!</v>
      </c>
      <c r="EK11" t="e">
        <f>AND(#REF!,"AAAAAG+97Yw=")</f>
        <v>#REF!</v>
      </c>
      <c r="EL11" t="e">
        <f>AND(#REF!,"AAAAAG+97Y0=")</f>
        <v>#REF!</v>
      </c>
      <c r="EM11" t="e">
        <f>AND(#REF!,"AAAAAG+97Y4=")</f>
        <v>#REF!</v>
      </c>
      <c r="EN11" t="e">
        <f>AND(#REF!,"AAAAAG+97Y8=")</f>
        <v>#REF!</v>
      </c>
      <c r="EO11" t="e">
        <f>AND(#REF!,"AAAAAG+97ZA=")</f>
        <v>#REF!</v>
      </c>
      <c r="EP11" t="e">
        <f>AND(#REF!,"AAAAAG+97ZE=")</f>
        <v>#REF!</v>
      </c>
      <c r="EQ11" t="e">
        <f>AND(#REF!,"AAAAAG+97ZI=")</f>
        <v>#REF!</v>
      </c>
      <c r="ER11" t="e">
        <f>AND(#REF!,"AAAAAG+97ZM=")</f>
        <v>#REF!</v>
      </c>
      <c r="ES11" t="e">
        <f>AND(#REF!,"AAAAAG+97ZQ=")</f>
        <v>#REF!</v>
      </c>
      <c r="ET11" t="e">
        <f>AND(#REF!,"AAAAAG+97ZU=")</f>
        <v>#REF!</v>
      </c>
      <c r="EU11" t="e">
        <f>AND(#REF!,"AAAAAG+97ZY=")</f>
        <v>#REF!</v>
      </c>
      <c r="EV11" t="e">
        <f>AND(#REF!,"AAAAAG+97Zc=")</f>
        <v>#REF!</v>
      </c>
      <c r="EW11" t="e">
        <f>AND(#REF!,"AAAAAG+97Zg=")</f>
        <v>#REF!</v>
      </c>
      <c r="EX11" t="e">
        <f>AND(#REF!,"AAAAAG+97Zk=")</f>
        <v>#REF!</v>
      </c>
      <c r="EY11" t="e">
        <f>AND(#REF!,"AAAAAG+97Zo=")</f>
        <v>#REF!</v>
      </c>
      <c r="EZ11" t="e">
        <f>AND(#REF!,"AAAAAG+97Zs=")</f>
        <v>#REF!</v>
      </c>
      <c r="FA11" t="e">
        <f>AND(#REF!,"AAAAAG+97Zw=")</f>
        <v>#REF!</v>
      </c>
      <c r="FB11" t="e">
        <f>AND(#REF!,"AAAAAG+97Z0=")</f>
        <v>#REF!</v>
      </c>
      <c r="FC11" t="e">
        <f>AND(#REF!,"AAAAAG+97Z4=")</f>
        <v>#REF!</v>
      </c>
      <c r="FD11" t="e">
        <f>AND(#REF!,"AAAAAG+97Z8=")</f>
        <v>#REF!</v>
      </c>
      <c r="FE11" t="e">
        <f>AND(#REF!,"AAAAAG+97aA=")</f>
        <v>#REF!</v>
      </c>
      <c r="FF11" t="e">
        <f>IF(#REF!,"AAAAAG+97aE=",0)</f>
        <v>#REF!</v>
      </c>
      <c r="FG11" t="e">
        <f>AND(#REF!,"AAAAAG+97aI=")</f>
        <v>#REF!</v>
      </c>
      <c r="FH11" t="e">
        <f>AND(#REF!,"AAAAAG+97aM=")</f>
        <v>#REF!</v>
      </c>
      <c r="FI11" t="e">
        <f>AND(#REF!,"AAAAAG+97aQ=")</f>
        <v>#REF!</v>
      </c>
      <c r="FJ11" t="e">
        <f>AND(#REF!,"AAAAAG+97aU=")</f>
        <v>#REF!</v>
      </c>
      <c r="FK11" t="e">
        <f>AND(#REF!,"AAAAAG+97aY=")</f>
        <v>#REF!</v>
      </c>
      <c r="FL11" t="e">
        <f>AND(#REF!,"AAAAAG+97ac=")</f>
        <v>#REF!</v>
      </c>
      <c r="FM11" t="e">
        <f>AND(#REF!,"AAAAAG+97ag=")</f>
        <v>#REF!</v>
      </c>
      <c r="FN11" t="e">
        <f>AND(#REF!,"AAAAAG+97ak=")</f>
        <v>#REF!</v>
      </c>
      <c r="FO11" t="e">
        <f>AND(#REF!,"AAAAAG+97ao=")</f>
        <v>#REF!</v>
      </c>
      <c r="FP11" t="e">
        <f>AND(#REF!,"AAAAAG+97as=")</f>
        <v>#REF!</v>
      </c>
      <c r="FQ11" t="e">
        <f>AND(#REF!,"AAAAAG+97aw=")</f>
        <v>#REF!</v>
      </c>
      <c r="FR11" t="e">
        <f>AND(#REF!,"AAAAAG+97a0=")</f>
        <v>#REF!</v>
      </c>
      <c r="FS11" t="e">
        <f>AND(#REF!,"AAAAAG+97a4=")</f>
        <v>#REF!</v>
      </c>
      <c r="FT11" t="e">
        <f>AND(#REF!,"AAAAAG+97a8=")</f>
        <v>#REF!</v>
      </c>
      <c r="FU11" t="e">
        <f>AND(#REF!,"AAAAAG+97bA=")</f>
        <v>#REF!</v>
      </c>
      <c r="FV11" t="e">
        <f>AND(#REF!,"AAAAAG+97bE=")</f>
        <v>#REF!</v>
      </c>
      <c r="FW11" t="e">
        <f>AND(#REF!,"AAAAAG+97bI=")</f>
        <v>#REF!</v>
      </c>
      <c r="FX11" t="e">
        <f>AND(#REF!,"AAAAAG+97bM=")</f>
        <v>#REF!</v>
      </c>
      <c r="FY11" t="e">
        <f>AND(#REF!,"AAAAAG+97bQ=")</f>
        <v>#REF!</v>
      </c>
      <c r="FZ11" t="e">
        <f>AND(#REF!,"AAAAAG+97bU=")</f>
        <v>#REF!</v>
      </c>
      <c r="GA11" t="e">
        <f>AND(#REF!,"AAAAAG+97bY=")</f>
        <v>#REF!</v>
      </c>
      <c r="GB11" t="e">
        <f>AND(#REF!,"AAAAAG+97bc=")</f>
        <v>#REF!</v>
      </c>
      <c r="GC11" t="e">
        <f>IF(#REF!,"AAAAAG+97bg=",0)</f>
        <v>#REF!</v>
      </c>
      <c r="GD11" t="e">
        <f>AND(#REF!,"AAAAAG+97bk=")</f>
        <v>#REF!</v>
      </c>
      <c r="GE11" t="e">
        <f>AND(#REF!,"AAAAAG+97bo=")</f>
        <v>#REF!</v>
      </c>
      <c r="GF11" t="e">
        <f>AND(#REF!,"AAAAAG+97bs=")</f>
        <v>#REF!</v>
      </c>
      <c r="GG11" t="e">
        <f>AND(#REF!,"AAAAAG+97bw=")</f>
        <v>#REF!</v>
      </c>
      <c r="GH11" t="e">
        <f>AND(#REF!,"AAAAAG+97b0=")</f>
        <v>#REF!</v>
      </c>
      <c r="GI11" t="e">
        <f>AND(#REF!,"AAAAAG+97b4=")</f>
        <v>#REF!</v>
      </c>
      <c r="GJ11" t="e">
        <f>AND(#REF!,"AAAAAG+97b8=")</f>
        <v>#REF!</v>
      </c>
      <c r="GK11" t="e">
        <f>AND(#REF!,"AAAAAG+97cA=")</f>
        <v>#REF!</v>
      </c>
      <c r="GL11" t="e">
        <f>AND(#REF!,"AAAAAG+97cE=")</f>
        <v>#REF!</v>
      </c>
      <c r="GM11" t="e">
        <f>AND(#REF!,"AAAAAG+97cI=")</f>
        <v>#REF!</v>
      </c>
      <c r="GN11" t="e">
        <f>AND(#REF!,"AAAAAG+97cM=")</f>
        <v>#REF!</v>
      </c>
      <c r="GO11" t="e">
        <f>AND(#REF!,"AAAAAG+97cQ=")</f>
        <v>#REF!</v>
      </c>
      <c r="GP11" t="e">
        <f>AND(#REF!,"AAAAAG+97cU=")</f>
        <v>#REF!</v>
      </c>
      <c r="GQ11" t="e">
        <f>AND(#REF!,"AAAAAG+97cY=")</f>
        <v>#REF!</v>
      </c>
      <c r="GR11" t="e">
        <f>AND(#REF!,"AAAAAG+97cc=")</f>
        <v>#REF!</v>
      </c>
      <c r="GS11" t="e">
        <f>AND(#REF!,"AAAAAG+97cg=")</f>
        <v>#REF!</v>
      </c>
      <c r="GT11" t="e">
        <f>AND(#REF!,"AAAAAG+97ck=")</f>
        <v>#REF!</v>
      </c>
      <c r="GU11" t="e">
        <f>AND(#REF!,"AAAAAG+97co=")</f>
        <v>#REF!</v>
      </c>
      <c r="GV11" t="e">
        <f>AND(#REF!,"AAAAAG+97cs=")</f>
        <v>#REF!</v>
      </c>
      <c r="GW11" t="e">
        <f>AND(#REF!,"AAAAAG+97cw=")</f>
        <v>#REF!</v>
      </c>
      <c r="GX11" t="e">
        <f>AND(#REF!,"AAAAAG+97c0=")</f>
        <v>#REF!</v>
      </c>
      <c r="GY11" t="e">
        <f>AND(#REF!,"AAAAAG+97c4=")</f>
        <v>#REF!</v>
      </c>
      <c r="GZ11" t="e">
        <f>IF(#REF!,"AAAAAG+97c8=",0)</f>
        <v>#REF!</v>
      </c>
      <c r="HA11" t="e">
        <f>AND(#REF!,"AAAAAG+97dA=")</f>
        <v>#REF!</v>
      </c>
      <c r="HB11" t="e">
        <f>AND(#REF!,"AAAAAG+97dE=")</f>
        <v>#REF!</v>
      </c>
      <c r="HC11" t="e">
        <f>AND(#REF!,"AAAAAG+97dI=")</f>
        <v>#REF!</v>
      </c>
      <c r="HD11" t="e">
        <f>AND(#REF!,"AAAAAG+97dM=")</f>
        <v>#REF!</v>
      </c>
      <c r="HE11" t="e">
        <f>AND(#REF!,"AAAAAG+97dQ=")</f>
        <v>#REF!</v>
      </c>
      <c r="HF11" t="e">
        <f>AND(#REF!,"AAAAAG+97dU=")</f>
        <v>#REF!</v>
      </c>
      <c r="HG11" t="e">
        <f>AND(#REF!,"AAAAAG+97dY=")</f>
        <v>#REF!</v>
      </c>
      <c r="HH11" t="e">
        <f>AND(#REF!,"AAAAAG+97dc=")</f>
        <v>#REF!</v>
      </c>
      <c r="HI11" t="e">
        <f>AND(#REF!,"AAAAAG+97dg=")</f>
        <v>#REF!</v>
      </c>
      <c r="HJ11" t="e">
        <f>AND(#REF!,"AAAAAG+97dk=")</f>
        <v>#REF!</v>
      </c>
      <c r="HK11" t="e">
        <f>AND(#REF!,"AAAAAG+97do=")</f>
        <v>#REF!</v>
      </c>
      <c r="HL11" t="e">
        <f>AND(#REF!,"AAAAAG+97ds=")</f>
        <v>#REF!</v>
      </c>
      <c r="HM11" t="e">
        <f>AND(#REF!,"AAAAAG+97dw=")</f>
        <v>#REF!</v>
      </c>
      <c r="HN11" t="e">
        <f>AND(#REF!,"AAAAAG+97d0=")</f>
        <v>#REF!</v>
      </c>
      <c r="HO11" t="e">
        <f>AND(#REF!,"AAAAAG+97d4=")</f>
        <v>#REF!</v>
      </c>
      <c r="HP11" t="e">
        <f>AND(#REF!,"AAAAAG+97d8=")</f>
        <v>#REF!</v>
      </c>
      <c r="HQ11" t="e">
        <f>AND(#REF!,"AAAAAG+97eA=")</f>
        <v>#REF!</v>
      </c>
      <c r="HR11" t="e">
        <f>AND(#REF!,"AAAAAG+97eE=")</f>
        <v>#REF!</v>
      </c>
      <c r="HS11" t="e">
        <f>AND(#REF!,"AAAAAG+97eI=")</f>
        <v>#REF!</v>
      </c>
      <c r="HT11" t="e">
        <f>AND(#REF!,"AAAAAG+97eM=")</f>
        <v>#REF!</v>
      </c>
      <c r="HU11" t="e">
        <f>AND(#REF!,"AAAAAG+97eQ=")</f>
        <v>#REF!</v>
      </c>
      <c r="HV11" t="e">
        <f>AND(#REF!,"AAAAAG+97eU=")</f>
        <v>#REF!</v>
      </c>
      <c r="HW11" t="e">
        <f>IF(#REF!,"AAAAAG+97eY=",0)</f>
        <v>#REF!</v>
      </c>
      <c r="HX11" t="e">
        <f>AND(#REF!,"AAAAAG+97ec=")</f>
        <v>#REF!</v>
      </c>
      <c r="HY11" t="e">
        <f>AND(#REF!,"AAAAAG+97eg=")</f>
        <v>#REF!</v>
      </c>
      <c r="HZ11" t="e">
        <f>AND(#REF!,"AAAAAG+97ek=")</f>
        <v>#REF!</v>
      </c>
      <c r="IA11" t="e">
        <f>AND(#REF!,"AAAAAG+97eo=")</f>
        <v>#REF!</v>
      </c>
      <c r="IB11" t="e">
        <f>AND(#REF!,"AAAAAG+97es=")</f>
        <v>#REF!</v>
      </c>
      <c r="IC11" t="e">
        <f>AND(#REF!,"AAAAAG+97ew=")</f>
        <v>#REF!</v>
      </c>
      <c r="ID11" t="e">
        <f>AND(#REF!,"AAAAAG+97e0=")</f>
        <v>#REF!</v>
      </c>
      <c r="IE11" t="e">
        <f>AND(#REF!,"AAAAAG+97e4=")</f>
        <v>#REF!</v>
      </c>
      <c r="IF11" t="e">
        <f>AND(#REF!,"AAAAAG+97e8=")</f>
        <v>#REF!</v>
      </c>
      <c r="IG11" t="e">
        <f>AND(#REF!,"AAAAAG+97fA=")</f>
        <v>#REF!</v>
      </c>
      <c r="IH11" t="e">
        <f>AND(#REF!,"AAAAAG+97fE=")</f>
        <v>#REF!</v>
      </c>
      <c r="II11" t="e">
        <f>AND(#REF!,"AAAAAG+97fI=")</f>
        <v>#REF!</v>
      </c>
      <c r="IJ11" t="e">
        <f>AND(#REF!,"AAAAAG+97fM=")</f>
        <v>#REF!</v>
      </c>
      <c r="IK11" t="e">
        <f>AND(#REF!,"AAAAAG+97fQ=")</f>
        <v>#REF!</v>
      </c>
      <c r="IL11" t="e">
        <f>AND(#REF!,"AAAAAG+97fU=")</f>
        <v>#REF!</v>
      </c>
      <c r="IM11" t="e">
        <f>AND(#REF!,"AAAAAG+97fY=")</f>
        <v>#REF!</v>
      </c>
      <c r="IN11" t="e">
        <f>AND(#REF!,"AAAAAG+97fc=")</f>
        <v>#REF!</v>
      </c>
      <c r="IO11" t="e">
        <f>AND(#REF!,"AAAAAG+97fg=")</f>
        <v>#REF!</v>
      </c>
      <c r="IP11" t="e">
        <f>AND(#REF!,"AAAAAG+97fk=")</f>
        <v>#REF!</v>
      </c>
      <c r="IQ11" t="e">
        <f>AND(#REF!,"AAAAAG+97fo=")</f>
        <v>#REF!</v>
      </c>
      <c r="IR11" t="e">
        <f>AND(#REF!,"AAAAAG+97fs=")</f>
        <v>#REF!</v>
      </c>
      <c r="IS11" t="e">
        <f>AND(#REF!,"AAAAAG+97fw=")</f>
        <v>#REF!</v>
      </c>
      <c r="IT11" t="e">
        <f>IF(#REF!,"AAAAAG+97f0=",0)</f>
        <v>#REF!</v>
      </c>
      <c r="IU11" t="e">
        <f>AND(#REF!,"AAAAAG+97f4=")</f>
        <v>#REF!</v>
      </c>
      <c r="IV11" t="e">
        <f>AND(#REF!,"AAAAAG+97f8=")</f>
        <v>#REF!</v>
      </c>
    </row>
    <row r="12" spans="1:256" ht="15">
      <c r="A12" t="e">
        <f>AND(#REF!,"AAAAAGH9+wA=")</f>
        <v>#REF!</v>
      </c>
      <c r="B12" t="e">
        <f>AND(#REF!,"AAAAAGH9+wE=")</f>
        <v>#REF!</v>
      </c>
      <c r="C12" t="e">
        <f>AND(#REF!,"AAAAAGH9+wI=")</f>
        <v>#REF!</v>
      </c>
      <c r="D12" t="e">
        <f>AND(#REF!,"AAAAAGH9+wM=")</f>
        <v>#REF!</v>
      </c>
      <c r="E12" t="e">
        <f>AND(#REF!,"AAAAAGH9+wQ=")</f>
        <v>#REF!</v>
      </c>
      <c r="F12" t="e">
        <f>AND(#REF!,"AAAAAGH9+wU=")</f>
        <v>#REF!</v>
      </c>
      <c r="G12" t="e">
        <f>AND(#REF!,"AAAAAGH9+wY=")</f>
        <v>#REF!</v>
      </c>
      <c r="H12" t="e">
        <f>AND(#REF!,"AAAAAGH9+wc=")</f>
        <v>#REF!</v>
      </c>
      <c r="I12" t="e">
        <f>AND(#REF!,"AAAAAGH9+wg=")</f>
        <v>#REF!</v>
      </c>
      <c r="J12" t="e">
        <f>AND(#REF!,"AAAAAGH9+wk=")</f>
        <v>#REF!</v>
      </c>
      <c r="K12" t="e">
        <f>AND(#REF!,"AAAAAGH9+wo=")</f>
        <v>#REF!</v>
      </c>
      <c r="L12" t="e">
        <f>AND(#REF!,"AAAAAGH9+ws=")</f>
        <v>#REF!</v>
      </c>
      <c r="M12" t="e">
        <f>AND(#REF!,"AAAAAGH9+ww=")</f>
        <v>#REF!</v>
      </c>
      <c r="N12" t="e">
        <f>AND(#REF!,"AAAAAGH9+w0=")</f>
        <v>#REF!</v>
      </c>
      <c r="O12" t="e">
        <f>AND(#REF!,"AAAAAGH9+w4=")</f>
        <v>#REF!</v>
      </c>
      <c r="P12" t="e">
        <f>AND(#REF!,"AAAAAGH9+w8=")</f>
        <v>#REF!</v>
      </c>
      <c r="Q12" t="e">
        <f>AND(#REF!,"AAAAAGH9+xA=")</f>
        <v>#REF!</v>
      </c>
      <c r="R12" t="e">
        <f>AND(#REF!,"AAAAAGH9+xE=")</f>
        <v>#REF!</v>
      </c>
      <c r="S12" t="e">
        <f>AND(#REF!,"AAAAAGH9+xI=")</f>
        <v>#REF!</v>
      </c>
      <c r="T12" t="e">
        <f>AND(#REF!,"AAAAAGH9+xM=")</f>
        <v>#REF!</v>
      </c>
      <c r="U12" t="e">
        <f>IF(#REF!,"AAAAAGH9+xQ=",0)</f>
        <v>#REF!</v>
      </c>
      <c r="V12" t="e">
        <f>AND(#REF!,"AAAAAGH9+xU=")</f>
        <v>#REF!</v>
      </c>
      <c r="W12" t="e">
        <f>AND(#REF!,"AAAAAGH9+xY=")</f>
        <v>#REF!</v>
      </c>
      <c r="X12" t="e">
        <f>AND(#REF!,"AAAAAGH9+xc=")</f>
        <v>#REF!</v>
      </c>
      <c r="Y12" t="e">
        <f>AND(#REF!,"AAAAAGH9+xg=")</f>
        <v>#REF!</v>
      </c>
      <c r="Z12" t="e">
        <f>AND(#REF!,"AAAAAGH9+xk=")</f>
        <v>#REF!</v>
      </c>
      <c r="AA12" t="e">
        <f>AND(#REF!,"AAAAAGH9+xo=")</f>
        <v>#REF!</v>
      </c>
      <c r="AB12" t="e">
        <f>AND(#REF!,"AAAAAGH9+xs=")</f>
        <v>#REF!</v>
      </c>
      <c r="AC12" t="e">
        <f>AND(#REF!,"AAAAAGH9+xw=")</f>
        <v>#REF!</v>
      </c>
      <c r="AD12" t="e">
        <f>AND(#REF!,"AAAAAGH9+x0=")</f>
        <v>#REF!</v>
      </c>
      <c r="AE12" t="e">
        <f>AND(#REF!,"AAAAAGH9+x4=")</f>
        <v>#REF!</v>
      </c>
      <c r="AF12" t="e">
        <f>AND(#REF!,"AAAAAGH9+x8=")</f>
        <v>#REF!</v>
      </c>
      <c r="AG12" t="e">
        <f>AND(#REF!,"AAAAAGH9+yA=")</f>
        <v>#REF!</v>
      </c>
      <c r="AH12" t="e">
        <f>AND(#REF!,"AAAAAGH9+yE=")</f>
        <v>#REF!</v>
      </c>
      <c r="AI12" t="e">
        <f>AND(#REF!,"AAAAAGH9+yI=")</f>
        <v>#REF!</v>
      </c>
      <c r="AJ12" t="e">
        <f>AND(#REF!,"AAAAAGH9+yM=")</f>
        <v>#REF!</v>
      </c>
      <c r="AK12" t="e">
        <f>AND(#REF!,"AAAAAGH9+yQ=")</f>
        <v>#REF!</v>
      </c>
      <c r="AL12" t="e">
        <f>AND(#REF!,"AAAAAGH9+yU=")</f>
        <v>#REF!</v>
      </c>
      <c r="AM12" t="e">
        <f>AND(#REF!,"AAAAAGH9+yY=")</f>
        <v>#REF!</v>
      </c>
      <c r="AN12" t="e">
        <f>AND(#REF!,"AAAAAGH9+yc=")</f>
        <v>#REF!</v>
      </c>
      <c r="AO12" t="e">
        <f>AND(#REF!,"AAAAAGH9+yg=")</f>
        <v>#REF!</v>
      </c>
      <c r="AP12" t="e">
        <f>AND(#REF!,"AAAAAGH9+yk=")</f>
        <v>#REF!</v>
      </c>
      <c r="AQ12" t="e">
        <f>AND(#REF!,"AAAAAGH9+yo=")</f>
        <v>#REF!</v>
      </c>
      <c r="AR12" t="e">
        <f>IF(#REF!,"AAAAAGH9+ys=",0)</f>
        <v>#REF!</v>
      </c>
      <c r="AS12" t="e">
        <f>AND(#REF!,"AAAAAGH9+yw=")</f>
        <v>#REF!</v>
      </c>
      <c r="AT12" t="e">
        <f>AND(#REF!,"AAAAAGH9+y0=")</f>
        <v>#REF!</v>
      </c>
      <c r="AU12" t="e">
        <f>AND(#REF!,"AAAAAGH9+y4=")</f>
        <v>#REF!</v>
      </c>
      <c r="AV12" t="e">
        <f>AND(#REF!,"AAAAAGH9+y8=")</f>
        <v>#REF!</v>
      </c>
      <c r="AW12" t="e">
        <f>AND(#REF!,"AAAAAGH9+zA=")</f>
        <v>#REF!</v>
      </c>
      <c r="AX12" t="e">
        <f>AND(#REF!,"AAAAAGH9+zE=")</f>
        <v>#REF!</v>
      </c>
      <c r="AY12" t="e">
        <f>AND(#REF!,"AAAAAGH9+zI=")</f>
        <v>#REF!</v>
      </c>
      <c r="AZ12" t="e">
        <f>AND(#REF!,"AAAAAGH9+zM=")</f>
        <v>#REF!</v>
      </c>
      <c r="BA12" t="e">
        <f>AND(#REF!,"AAAAAGH9+zQ=")</f>
        <v>#REF!</v>
      </c>
      <c r="BB12" t="e">
        <f>AND(#REF!,"AAAAAGH9+zU=")</f>
        <v>#REF!</v>
      </c>
      <c r="BC12" t="e">
        <f>AND(#REF!,"AAAAAGH9+zY=")</f>
        <v>#REF!</v>
      </c>
      <c r="BD12" t="e">
        <f>AND(#REF!,"AAAAAGH9+zc=")</f>
        <v>#REF!</v>
      </c>
      <c r="BE12" t="e">
        <f>AND(#REF!,"AAAAAGH9+zg=")</f>
        <v>#REF!</v>
      </c>
      <c r="BF12" t="e">
        <f>AND(#REF!,"AAAAAGH9+zk=")</f>
        <v>#REF!</v>
      </c>
      <c r="BG12" t="e">
        <f>AND(#REF!,"AAAAAGH9+zo=")</f>
        <v>#REF!</v>
      </c>
      <c r="BH12" t="e">
        <f>AND(#REF!,"AAAAAGH9+zs=")</f>
        <v>#REF!</v>
      </c>
      <c r="BI12" t="e">
        <f>AND(#REF!,"AAAAAGH9+zw=")</f>
        <v>#REF!</v>
      </c>
      <c r="BJ12" t="e">
        <f>AND(#REF!,"AAAAAGH9+z0=")</f>
        <v>#REF!</v>
      </c>
      <c r="BK12" t="e">
        <f>AND(#REF!,"AAAAAGH9+z4=")</f>
        <v>#REF!</v>
      </c>
      <c r="BL12" t="e">
        <f>AND(#REF!,"AAAAAGH9+z8=")</f>
        <v>#REF!</v>
      </c>
      <c r="BM12" t="e">
        <f>AND(#REF!,"AAAAAGH9+0A=")</f>
        <v>#REF!</v>
      </c>
      <c r="BN12" t="e">
        <f>AND(#REF!,"AAAAAGH9+0E=")</f>
        <v>#REF!</v>
      </c>
      <c r="BO12" t="e">
        <f>IF(#REF!,"AAAAAGH9+0I=",0)</f>
        <v>#REF!</v>
      </c>
      <c r="BP12" t="e">
        <f>AND(#REF!,"AAAAAGH9+0M=")</f>
        <v>#REF!</v>
      </c>
      <c r="BQ12" t="e">
        <f>AND(#REF!,"AAAAAGH9+0Q=")</f>
        <v>#REF!</v>
      </c>
      <c r="BR12" t="e">
        <f>AND(#REF!,"AAAAAGH9+0U=")</f>
        <v>#REF!</v>
      </c>
      <c r="BS12" t="e">
        <f>AND(#REF!,"AAAAAGH9+0Y=")</f>
        <v>#REF!</v>
      </c>
      <c r="BT12" t="e">
        <f>AND(#REF!,"AAAAAGH9+0c=")</f>
        <v>#REF!</v>
      </c>
      <c r="BU12" t="e">
        <f>AND(#REF!,"AAAAAGH9+0g=")</f>
        <v>#REF!</v>
      </c>
      <c r="BV12" t="e">
        <f>AND(#REF!,"AAAAAGH9+0k=")</f>
        <v>#REF!</v>
      </c>
      <c r="BW12" t="e">
        <f>AND(#REF!,"AAAAAGH9+0o=")</f>
        <v>#REF!</v>
      </c>
      <c r="BX12" t="e">
        <f>AND(#REF!,"AAAAAGH9+0s=")</f>
        <v>#REF!</v>
      </c>
      <c r="BY12" t="e">
        <f>AND(#REF!,"AAAAAGH9+0w=")</f>
        <v>#REF!</v>
      </c>
      <c r="BZ12" t="e">
        <f>AND(#REF!,"AAAAAGH9+00=")</f>
        <v>#REF!</v>
      </c>
      <c r="CA12" t="e">
        <f>AND(#REF!,"AAAAAGH9+04=")</f>
        <v>#REF!</v>
      </c>
      <c r="CB12" t="e">
        <f>AND(#REF!,"AAAAAGH9+08=")</f>
        <v>#REF!</v>
      </c>
      <c r="CC12" t="e">
        <f>AND(#REF!,"AAAAAGH9+1A=")</f>
        <v>#REF!</v>
      </c>
      <c r="CD12" t="e">
        <f>AND(#REF!,"AAAAAGH9+1E=")</f>
        <v>#REF!</v>
      </c>
      <c r="CE12" t="e">
        <f>AND(#REF!,"AAAAAGH9+1I=")</f>
        <v>#REF!</v>
      </c>
      <c r="CF12" t="e">
        <f>AND(#REF!,"AAAAAGH9+1M=")</f>
        <v>#REF!</v>
      </c>
      <c r="CG12" t="e">
        <f>AND(#REF!,"AAAAAGH9+1Q=")</f>
        <v>#REF!</v>
      </c>
      <c r="CH12" t="e">
        <f>AND(#REF!,"AAAAAGH9+1U=")</f>
        <v>#REF!</v>
      </c>
      <c r="CI12" t="e">
        <f>AND(#REF!,"AAAAAGH9+1Y=")</f>
        <v>#REF!</v>
      </c>
      <c r="CJ12" t="e">
        <f>AND(#REF!,"AAAAAGH9+1c=")</f>
        <v>#REF!</v>
      </c>
      <c r="CK12" t="e">
        <f>AND(#REF!,"AAAAAGH9+1g=")</f>
        <v>#REF!</v>
      </c>
      <c r="CL12" t="e">
        <f>IF(#REF!,"AAAAAGH9+1k=",0)</f>
        <v>#REF!</v>
      </c>
      <c r="CM12" t="e">
        <f>AND(#REF!,"AAAAAGH9+1o=")</f>
        <v>#REF!</v>
      </c>
      <c r="CN12" t="e">
        <f>AND(#REF!,"AAAAAGH9+1s=")</f>
        <v>#REF!</v>
      </c>
      <c r="CO12" t="e">
        <f>AND(#REF!,"AAAAAGH9+1w=")</f>
        <v>#REF!</v>
      </c>
      <c r="CP12" t="e">
        <f>AND(#REF!,"AAAAAGH9+10=")</f>
        <v>#REF!</v>
      </c>
      <c r="CQ12" t="e">
        <f>AND(#REF!,"AAAAAGH9+14=")</f>
        <v>#REF!</v>
      </c>
      <c r="CR12" t="e">
        <f>AND(#REF!,"AAAAAGH9+18=")</f>
        <v>#REF!</v>
      </c>
      <c r="CS12" t="e">
        <f>AND(#REF!,"AAAAAGH9+2A=")</f>
        <v>#REF!</v>
      </c>
      <c r="CT12" t="e">
        <f>AND(#REF!,"AAAAAGH9+2E=")</f>
        <v>#REF!</v>
      </c>
      <c r="CU12" t="e">
        <f>AND(#REF!,"AAAAAGH9+2I=")</f>
        <v>#REF!</v>
      </c>
      <c r="CV12" t="e">
        <f>AND(#REF!,"AAAAAGH9+2M=")</f>
        <v>#REF!</v>
      </c>
      <c r="CW12" t="e">
        <f>AND(#REF!,"AAAAAGH9+2Q=")</f>
        <v>#REF!</v>
      </c>
      <c r="CX12" t="e">
        <f>AND(#REF!,"AAAAAGH9+2U=")</f>
        <v>#REF!</v>
      </c>
      <c r="CY12" t="e">
        <f>AND(#REF!,"AAAAAGH9+2Y=")</f>
        <v>#REF!</v>
      </c>
      <c r="CZ12" t="e">
        <f>AND(#REF!,"AAAAAGH9+2c=")</f>
        <v>#REF!</v>
      </c>
      <c r="DA12" t="e">
        <f>AND(#REF!,"AAAAAGH9+2g=")</f>
        <v>#REF!</v>
      </c>
      <c r="DB12" t="e">
        <f>AND(#REF!,"AAAAAGH9+2k=")</f>
        <v>#REF!</v>
      </c>
      <c r="DC12" t="e">
        <f>AND(#REF!,"AAAAAGH9+2o=")</f>
        <v>#REF!</v>
      </c>
      <c r="DD12" t="e">
        <f>AND(#REF!,"AAAAAGH9+2s=")</f>
        <v>#REF!</v>
      </c>
      <c r="DE12" t="e">
        <f>AND(#REF!,"AAAAAGH9+2w=")</f>
        <v>#REF!</v>
      </c>
      <c r="DF12" t="e">
        <f>AND(#REF!,"AAAAAGH9+20=")</f>
        <v>#REF!</v>
      </c>
      <c r="DG12" t="e">
        <f>AND(#REF!,"AAAAAGH9+24=")</f>
        <v>#REF!</v>
      </c>
      <c r="DH12" t="e">
        <f>AND(#REF!,"AAAAAGH9+28=")</f>
        <v>#REF!</v>
      </c>
      <c r="DI12" t="e">
        <f>IF(#REF!,"AAAAAGH9+3A=",0)</f>
        <v>#REF!</v>
      </c>
      <c r="DJ12" t="e">
        <f>AND(#REF!,"AAAAAGH9+3E=")</f>
        <v>#REF!</v>
      </c>
      <c r="DK12" t="e">
        <f>AND(#REF!,"AAAAAGH9+3I=")</f>
        <v>#REF!</v>
      </c>
      <c r="DL12" t="e">
        <f>AND(#REF!,"AAAAAGH9+3M=")</f>
        <v>#REF!</v>
      </c>
      <c r="DM12" t="e">
        <f>AND(#REF!,"AAAAAGH9+3Q=")</f>
        <v>#REF!</v>
      </c>
      <c r="DN12" t="e">
        <f>AND(#REF!,"AAAAAGH9+3U=")</f>
        <v>#REF!</v>
      </c>
      <c r="DO12" t="e">
        <f>AND(#REF!,"AAAAAGH9+3Y=")</f>
        <v>#REF!</v>
      </c>
      <c r="DP12" t="e">
        <f>AND(#REF!,"AAAAAGH9+3c=")</f>
        <v>#REF!</v>
      </c>
      <c r="DQ12" t="e">
        <f>AND(#REF!,"AAAAAGH9+3g=")</f>
        <v>#REF!</v>
      </c>
      <c r="DR12" t="e">
        <f>AND(#REF!,"AAAAAGH9+3k=")</f>
        <v>#REF!</v>
      </c>
      <c r="DS12" t="e">
        <f>AND(#REF!,"AAAAAGH9+3o=")</f>
        <v>#REF!</v>
      </c>
      <c r="DT12" t="e">
        <f>AND(#REF!,"AAAAAGH9+3s=")</f>
        <v>#REF!</v>
      </c>
      <c r="DU12" t="e">
        <f>AND(#REF!,"AAAAAGH9+3w=")</f>
        <v>#REF!</v>
      </c>
      <c r="DV12" t="e">
        <f>AND(#REF!,"AAAAAGH9+30=")</f>
        <v>#REF!</v>
      </c>
      <c r="DW12" t="e">
        <f>AND(#REF!,"AAAAAGH9+34=")</f>
        <v>#REF!</v>
      </c>
      <c r="DX12" t="e">
        <f>AND(#REF!,"AAAAAGH9+38=")</f>
        <v>#REF!</v>
      </c>
      <c r="DY12" t="e">
        <f>AND(#REF!,"AAAAAGH9+4A=")</f>
        <v>#REF!</v>
      </c>
      <c r="DZ12" t="e">
        <f>AND(#REF!,"AAAAAGH9+4E=")</f>
        <v>#REF!</v>
      </c>
      <c r="EA12" t="e">
        <f>AND(#REF!,"AAAAAGH9+4I=")</f>
        <v>#REF!</v>
      </c>
      <c r="EB12" t="e">
        <f>AND(#REF!,"AAAAAGH9+4M=")</f>
        <v>#REF!</v>
      </c>
      <c r="EC12" t="e">
        <f>AND(#REF!,"AAAAAGH9+4Q=")</f>
        <v>#REF!</v>
      </c>
      <c r="ED12" t="e">
        <f>AND(#REF!,"AAAAAGH9+4U=")</f>
        <v>#REF!</v>
      </c>
      <c r="EE12" t="e">
        <f>AND(#REF!,"AAAAAGH9+4Y=")</f>
        <v>#REF!</v>
      </c>
      <c r="EF12" t="e">
        <f>IF(#REF!,"AAAAAGH9+4c=",0)</f>
        <v>#REF!</v>
      </c>
      <c r="EG12" t="e">
        <f>AND(#REF!,"AAAAAGH9+4g=")</f>
        <v>#REF!</v>
      </c>
      <c r="EH12" t="e">
        <f>AND(#REF!,"AAAAAGH9+4k=")</f>
        <v>#REF!</v>
      </c>
      <c r="EI12" t="e">
        <f>AND(#REF!,"AAAAAGH9+4o=")</f>
        <v>#REF!</v>
      </c>
      <c r="EJ12" t="e">
        <f>AND(#REF!,"AAAAAGH9+4s=")</f>
        <v>#REF!</v>
      </c>
      <c r="EK12" t="e">
        <f>AND(#REF!,"AAAAAGH9+4w=")</f>
        <v>#REF!</v>
      </c>
      <c r="EL12" t="e">
        <f>AND(#REF!,"AAAAAGH9+40=")</f>
        <v>#REF!</v>
      </c>
      <c r="EM12" t="e">
        <f>AND(#REF!,"AAAAAGH9+44=")</f>
        <v>#REF!</v>
      </c>
      <c r="EN12" t="e">
        <f>AND(#REF!,"AAAAAGH9+48=")</f>
        <v>#REF!</v>
      </c>
      <c r="EO12" t="e">
        <f>AND(#REF!,"AAAAAGH9+5A=")</f>
        <v>#REF!</v>
      </c>
      <c r="EP12" t="e">
        <f>AND(#REF!,"AAAAAGH9+5E=")</f>
        <v>#REF!</v>
      </c>
      <c r="EQ12" t="e">
        <f>AND(#REF!,"AAAAAGH9+5I=")</f>
        <v>#REF!</v>
      </c>
      <c r="ER12" t="e">
        <f>AND(#REF!,"AAAAAGH9+5M=")</f>
        <v>#REF!</v>
      </c>
      <c r="ES12" t="e">
        <f>AND(#REF!,"AAAAAGH9+5Q=")</f>
        <v>#REF!</v>
      </c>
      <c r="ET12" t="e">
        <f>AND(#REF!,"AAAAAGH9+5U=")</f>
        <v>#REF!</v>
      </c>
      <c r="EU12" t="e">
        <f>AND(#REF!,"AAAAAGH9+5Y=")</f>
        <v>#REF!</v>
      </c>
      <c r="EV12" t="e">
        <f>AND(#REF!,"AAAAAGH9+5c=")</f>
        <v>#REF!</v>
      </c>
      <c r="EW12" t="e">
        <f>AND(#REF!,"AAAAAGH9+5g=")</f>
        <v>#REF!</v>
      </c>
      <c r="EX12" t="e">
        <f>AND(#REF!,"AAAAAGH9+5k=")</f>
        <v>#REF!</v>
      </c>
      <c r="EY12" t="e">
        <f>AND(#REF!,"AAAAAGH9+5o=")</f>
        <v>#REF!</v>
      </c>
      <c r="EZ12" t="e">
        <f>AND(#REF!,"AAAAAGH9+5s=")</f>
        <v>#REF!</v>
      </c>
      <c r="FA12" t="e">
        <f>AND(#REF!,"AAAAAGH9+5w=")</f>
        <v>#REF!</v>
      </c>
      <c r="FB12" t="e">
        <f>AND(#REF!,"AAAAAGH9+50=")</f>
        <v>#REF!</v>
      </c>
      <c r="FC12" t="e">
        <f>IF(#REF!,"AAAAAGH9+54=",0)</f>
        <v>#REF!</v>
      </c>
      <c r="FD12" t="e">
        <f>AND(#REF!,"AAAAAGH9+58=")</f>
        <v>#REF!</v>
      </c>
      <c r="FE12" t="e">
        <f>AND(#REF!,"AAAAAGH9+6A=")</f>
        <v>#REF!</v>
      </c>
      <c r="FF12" t="e">
        <f>AND(#REF!,"AAAAAGH9+6E=")</f>
        <v>#REF!</v>
      </c>
      <c r="FG12" t="e">
        <f>AND(#REF!,"AAAAAGH9+6I=")</f>
        <v>#REF!</v>
      </c>
      <c r="FH12" t="e">
        <f>AND(#REF!,"AAAAAGH9+6M=")</f>
        <v>#REF!</v>
      </c>
      <c r="FI12" t="e">
        <f>AND(#REF!,"AAAAAGH9+6Q=")</f>
        <v>#REF!</v>
      </c>
      <c r="FJ12" t="e">
        <f>AND(#REF!,"AAAAAGH9+6U=")</f>
        <v>#REF!</v>
      </c>
      <c r="FK12" t="e">
        <f>AND(#REF!,"AAAAAGH9+6Y=")</f>
        <v>#REF!</v>
      </c>
      <c r="FL12" t="e">
        <f>AND(#REF!,"AAAAAGH9+6c=")</f>
        <v>#REF!</v>
      </c>
      <c r="FM12" t="e">
        <f>AND(#REF!,"AAAAAGH9+6g=")</f>
        <v>#REF!</v>
      </c>
      <c r="FN12" t="e">
        <f>AND(#REF!,"AAAAAGH9+6k=")</f>
        <v>#REF!</v>
      </c>
      <c r="FO12" t="e">
        <f>AND(#REF!,"AAAAAGH9+6o=")</f>
        <v>#REF!</v>
      </c>
      <c r="FP12" t="e">
        <f>AND(#REF!,"AAAAAGH9+6s=")</f>
        <v>#REF!</v>
      </c>
      <c r="FQ12" t="e">
        <f>AND(#REF!,"AAAAAGH9+6w=")</f>
        <v>#REF!</v>
      </c>
      <c r="FR12" t="e">
        <f>AND(#REF!,"AAAAAGH9+60=")</f>
        <v>#REF!</v>
      </c>
      <c r="FS12" t="e">
        <f>AND(#REF!,"AAAAAGH9+64=")</f>
        <v>#REF!</v>
      </c>
      <c r="FT12" t="e">
        <f>AND(#REF!,"AAAAAGH9+68=")</f>
        <v>#REF!</v>
      </c>
      <c r="FU12" t="e">
        <f>AND(#REF!,"AAAAAGH9+7A=")</f>
        <v>#REF!</v>
      </c>
      <c r="FV12" t="e">
        <f>AND(#REF!,"AAAAAGH9+7E=")</f>
        <v>#REF!</v>
      </c>
      <c r="FW12" t="e">
        <f>AND(#REF!,"AAAAAGH9+7I=")</f>
        <v>#REF!</v>
      </c>
      <c r="FX12" t="e">
        <f>AND(#REF!,"AAAAAGH9+7M=")</f>
        <v>#REF!</v>
      </c>
      <c r="FY12" t="e">
        <f>AND(#REF!,"AAAAAGH9+7Q=")</f>
        <v>#REF!</v>
      </c>
      <c r="FZ12" t="e">
        <f>IF(#REF!,"AAAAAGH9+7U=",0)</f>
        <v>#REF!</v>
      </c>
      <c r="GA12" t="e">
        <f>AND(#REF!,"AAAAAGH9+7Y=")</f>
        <v>#REF!</v>
      </c>
      <c r="GB12" t="e">
        <f>AND(#REF!,"AAAAAGH9+7c=")</f>
        <v>#REF!</v>
      </c>
      <c r="GC12" t="e">
        <f>AND(#REF!,"AAAAAGH9+7g=")</f>
        <v>#REF!</v>
      </c>
      <c r="GD12" t="e">
        <f>AND(#REF!,"AAAAAGH9+7k=")</f>
        <v>#REF!</v>
      </c>
      <c r="GE12" t="e">
        <f>AND(#REF!,"AAAAAGH9+7o=")</f>
        <v>#REF!</v>
      </c>
      <c r="GF12" t="e">
        <f>AND(#REF!,"AAAAAGH9+7s=")</f>
        <v>#REF!</v>
      </c>
      <c r="GG12" t="e">
        <f>AND(#REF!,"AAAAAGH9+7w=")</f>
        <v>#REF!</v>
      </c>
      <c r="GH12" t="e">
        <f>AND(#REF!,"AAAAAGH9+70=")</f>
        <v>#REF!</v>
      </c>
      <c r="GI12" t="e">
        <f>AND(#REF!,"AAAAAGH9+74=")</f>
        <v>#REF!</v>
      </c>
      <c r="GJ12" t="e">
        <f>AND(#REF!,"AAAAAGH9+78=")</f>
        <v>#REF!</v>
      </c>
      <c r="GK12" t="e">
        <f>AND(#REF!,"AAAAAGH9+8A=")</f>
        <v>#REF!</v>
      </c>
      <c r="GL12" t="e">
        <f>AND(#REF!,"AAAAAGH9+8E=")</f>
        <v>#REF!</v>
      </c>
      <c r="GM12" t="e">
        <f>AND(#REF!,"AAAAAGH9+8I=")</f>
        <v>#REF!</v>
      </c>
      <c r="GN12" t="e">
        <f>AND(#REF!,"AAAAAGH9+8M=")</f>
        <v>#REF!</v>
      </c>
      <c r="GO12" t="e">
        <f>AND(#REF!,"AAAAAGH9+8Q=")</f>
        <v>#REF!</v>
      </c>
      <c r="GP12" t="e">
        <f>AND(#REF!,"AAAAAGH9+8U=")</f>
        <v>#REF!</v>
      </c>
      <c r="GQ12" t="e">
        <f>AND(#REF!,"AAAAAGH9+8Y=")</f>
        <v>#REF!</v>
      </c>
      <c r="GR12" t="e">
        <f>AND(#REF!,"AAAAAGH9+8c=")</f>
        <v>#REF!</v>
      </c>
      <c r="GS12" t="e">
        <f>AND(#REF!,"AAAAAGH9+8g=")</f>
        <v>#REF!</v>
      </c>
      <c r="GT12" t="e">
        <f>AND(#REF!,"AAAAAGH9+8k=")</f>
        <v>#REF!</v>
      </c>
      <c r="GU12" t="e">
        <f>AND(#REF!,"AAAAAGH9+8o=")</f>
        <v>#REF!</v>
      </c>
      <c r="GV12" t="e">
        <f>AND(#REF!,"AAAAAGH9+8s=")</f>
        <v>#REF!</v>
      </c>
      <c r="GW12" t="e">
        <f>IF(#REF!,"AAAAAGH9+8w=",0)</f>
        <v>#REF!</v>
      </c>
      <c r="GX12" t="e">
        <f>IF(#REF!,"AAAAAGH9+80=",0)</f>
        <v>#REF!</v>
      </c>
      <c r="GY12" t="e">
        <f>IF(#REF!,"AAAAAGH9+84=",0)</f>
        <v>#REF!</v>
      </c>
      <c r="GZ12" t="e">
        <f>IF(#REF!,"AAAAAGH9+88=",0)</f>
        <v>#REF!</v>
      </c>
      <c r="HA12" t="e">
        <f>IF(#REF!,"AAAAAGH9+9A=",0)</f>
        <v>#REF!</v>
      </c>
      <c r="HB12" t="e">
        <f>IF(#REF!,"AAAAAGH9+9E=",0)</f>
        <v>#REF!</v>
      </c>
      <c r="HC12" t="e">
        <f>IF(#REF!,"AAAAAGH9+9I=",0)</f>
        <v>#REF!</v>
      </c>
      <c r="HD12" t="e">
        <f>IF(#REF!,"AAAAAGH9+9M=",0)</f>
        <v>#REF!</v>
      </c>
      <c r="HE12" t="e">
        <f>IF(#REF!,"AAAAAGH9+9Q=",0)</f>
        <v>#REF!</v>
      </c>
      <c r="HF12" t="e">
        <f>IF(#REF!,"AAAAAGH9+9U=",0)</f>
        <v>#REF!</v>
      </c>
      <c r="HG12" t="e">
        <f>IF(#REF!,"AAAAAGH9+9Y=",0)</f>
        <v>#REF!</v>
      </c>
      <c r="HH12" t="e">
        <f>IF(#REF!,"AAAAAGH9+9c=",0)</f>
        <v>#REF!</v>
      </c>
      <c r="HI12" t="e">
        <f>IF(#REF!,"AAAAAGH9+9g=",0)</f>
        <v>#REF!</v>
      </c>
      <c r="HJ12" t="e">
        <f>IF(#REF!,"AAAAAGH9+9k=",0)</f>
        <v>#REF!</v>
      </c>
      <c r="HK12" t="e">
        <f>IF(#REF!,"AAAAAGH9+9o=",0)</f>
        <v>#REF!</v>
      </c>
      <c r="HL12" t="e">
        <f>IF(#REF!,"AAAAAGH9+9s=",0)</f>
        <v>#REF!</v>
      </c>
      <c r="HM12" t="e">
        <f>IF(#REF!,"AAAAAGH9+9w=",0)</f>
        <v>#REF!</v>
      </c>
      <c r="HN12" t="e">
        <f>IF(#REF!,"AAAAAGH9+90=",0)</f>
        <v>#REF!</v>
      </c>
      <c r="HO12" t="e">
        <f>IF(#REF!,"AAAAAGH9+94=",0)</f>
        <v>#REF!</v>
      </c>
      <c r="HP12" t="e">
        <f>IF(#REF!,"AAAAAGH9+98=",0)</f>
        <v>#REF!</v>
      </c>
      <c r="HQ12" t="e">
        <f>IF(#REF!,"AAAAAGH9++A=",0)</f>
        <v>#REF!</v>
      </c>
      <c r="HR12" t="e">
        <f>IF(#REF!,"AAAAAGH9++E=",0)</f>
        <v>#REF!</v>
      </c>
      <c r="HS12" t="e">
        <f>IF(#REF!,"AAAAAGH9++I=",0)</f>
        <v>#REF!</v>
      </c>
      <c r="HT12" t="e">
        <f>AND(#REF!,"AAAAAGH9++M=")</f>
        <v>#REF!</v>
      </c>
      <c r="HU12" t="e">
        <f>AND(#REF!,"AAAAAGH9++Q=")</f>
        <v>#REF!</v>
      </c>
      <c r="HV12" t="e">
        <f>AND(#REF!,"AAAAAGH9++U=")</f>
        <v>#REF!</v>
      </c>
      <c r="HW12" t="e">
        <f>AND(#REF!,"AAAAAGH9++Y=")</f>
        <v>#REF!</v>
      </c>
      <c r="HX12" t="e">
        <f>AND(#REF!,"AAAAAGH9++c=")</f>
        <v>#REF!</v>
      </c>
      <c r="HY12" t="e">
        <f>AND(#REF!,"AAAAAGH9++g=")</f>
        <v>#REF!</v>
      </c>
      <c r="HZ12" t="e">
        <f>AND(#REF!,"AAAAAGH9++k=")</f>
        <v>#REF!</v>
      </c>
      <c r="IA12" t="e">
        <f>AND(#REF!,"AAAAAGH9++o=")</f>
        <v>#REF!</v>
      </c>
      <c r="IB12" t="e">
        <f>IF(#REF!,"AAAAAGH9++s=",0)</f>
        <v>#REF!</v>
      </c>
      <c r="IC12" t="e">
        <f>AND(#REF!,"AAAAAGH9++w=")</f>
        <v>#REF!</v>
      </c>
      <c r="ID12" t="e">
        <f>AND(#REF!,"AAAAAGH9++0=")</f>
        <v>#REF!</v>
      </c>
      <c r="IE12" t="e">
        <f>AND(#REF!,"AAAAAGH9++4=")</f>
        <v>#REF!</v>
      </c>
      <c r="IF12" t="e">
        <f>AND(#REF!,"AAAAAGH9++8=")</f>
        <v>#REF!</v>
      </c>
      <c r="IG12" t="e">
        <f>AND(#REF!,"AAAAAGH9+/A=")</f>
        <v>#REF!</v>
      </c>
      <c r="IH12" t="e">
        <f>AND(#REF!,"AAAAAGH9+/E=")</f>
        <v>#REF!</v>
      </c>
      <c r="II12" t="e">
        <f>AND(#REF!,"AAAAAGH9+/I=")</f>
        <v>#REF!</v>
      </c>
      <c r="IJ12" t="e">
        <f>AND(#REF!,"AAAAAGH9+/M=")</f>
        <v>#REF!</v>
      </c>
      <c r="IK12" t="e">
        <f>IF(#REF!,"AAAAAGH9+/Q=",0)</f>
        <v>#REF!</v>
      </c>
      <c r="IL12" t="e">
        <f>AND(#REF!,"AAAAAGH9+/U=")</f>
        <v>#REF!</v>
      </c>
      <c r="IM12" t="e">
        <f>AND(#REF!,"AAAAAGH9+/Y=")</f>
        <v>#REF!</v>
      </c>
      <c r="IN12" t="e">
        <f>AND(#REF!,"AAAAAGH9+/c=")</f>
        <v>#REF!</v>
      </c>
      <c r="IO12" t="e">
        <f>AND(#REF!,"AAAAAGH9+/g=")</f>
        <v>#REF!</v>
      </c>
      <c r="IP12" t="e">
        <f>AND(#REF!,"AAAAAGH9+/k=")</f>
        <v>#REF!</v>
      </c>
      <c r="IQ12" t="e">
        <f>AND(#REF!,"AAAAAGH9+/o=")</f>
        <v>#REF!</v>
      </c>
      <c r="IR12" t="e">
        <f>AND(#REF!,"AAAAAGH9+/s=")</f>
        <v>#REF!</v>
      </c>
      <c r="IS12" t="e">
        <f>AND(#REF!,"AAAAAGH9+/w=")</f>
        <v>#REF!</v>
      </c>
      <c r="IT12" t="e">
        <f>IF(#REF!,"AAAAAGH9+/0=",0)</f>
        <v>#REF!</v>
      </c>
      <c r="IU12" t="e">
        <f>AND(#REF!,"AAAAAGH9+/4=")</f>
        <v>#REF!</v>
      </c>
      <c r="IV12" t="e">
        <f>AND(#REF!,"AAAAAGH9+/8=")</f>
        <v>#REF!</v>
      </c>
    </row>
    <row r="13" spans="1:256" ht="15">
      <c r="A13" t="e">
        <f>AND(#REF!,"AAAAAG/diQA=")</f>
        <v>#REF!</v>
      </c>
      <c r="B13" t="e">
        <f>AND(#REF!,"AAAAAG/diQE=")</f>
        <v>#REF!</v>
      </c>
      <c r="C13" t="e">
        <f>AND(#REF!,"AAAAAG/diQI=")</f>
        <v>#REF!</v>
      </c>
      <c r="D13" t="e">
        <f>AND(#REF!,"AAAAAG/diQM=")</f>
        <v>#REF!</v>
      </c>
      <c r="E13" t="e">
        <f>AND(#REF!,"AAAAAG/diQQ=")</f>
        <v>#REF!</v>
      </c>
      <c r="F13" t="e">
        <f>AND(#REF!,"AAAAAG/diQU=")</f>
        <v>#REF!</v>
      </c>
      <c r="G13" t="e">
        <f>IF(#REF!,"AAAAAG/diQY=",0)</f>
        <v>#REF!</v>
      </c>
      <c r="H13" t="e">
        <f>AND(#REF!,"AAAAAG/diQc=")</f>
        <v>#REF!</v>
      </c>
      <c r="I13" t="e">
        <f>AND(#REF!,"AAAAAG/diQg=")</f>
        <v>#REF!</v>
      </c>
      <c r="J13" t="e">
        <f>AND(#REF!,"AAAAAG/diQk=")</f>
        <v>#REF!</v>
      </c>
      <c r="K13" t="e">
        <f>AND(#REF!,"AAAAAG/diQo=")</f>
        <v>#REF!</v>
      </c>
      <c r="L13" t="e">
        <f>AND(#REF!,"AAAAAG/diQs=")</f>
        <v>#REF!</v>
      </c>
      <c r="M13" t="e">
        <f>AND(#REF!,"AAAAAG/diQw=")</f>
        <v>#REF!</v>
      </c>
      <c r="N13" t="e">
        <f>AND(#REF!,"AAAAAG/diQ0=")</f>
        <v>#REF!</v>
      </c>
      <c r="O13" t="e">
        <f>AND(#REF!,"AAAAAG/diQ4=")</f>
        <v>#REF!</v>
      </c>
      <c r="P13" t="e">
        <f>IF(#REF!,"AAAAAG/diQ8=",0)</f>
        <v>#REF!</v>
      </c>
      <c r="Q13" t="e">
        <f>AND(#REF!,"AAAAAG/diRA=")</f>
        <v>#REF!</v>
      </c>
      <c r="R13" t="e">
        <f>AND(#REF!,"AAAAAG/diRE=")</f>
        <v>#REF!</v>
      </c>
      <c r="S13" t="e">
        <f>AND(#REF!,"AAAAAG/diRI=")</f>
        <v>#REF!</v>
      </c>
      <c r="T13" t="e">
        <f>AND(#REF!,"AAAAAG/diRM=")</f>
        <v>#REF!</v>
      </c>
      <c r="U13" t="e">
        <f>AND(#REF!,"AAAAAG/diRQ=")</f>
        <v>#REF!</v>
      </c>
      <c r="V13" t="e">
        <f>AND(#REF!,"AAAAAG/diRU=")</f>
        <v>#REF!</v>
      </c>
      <c r="W13" t="e">
        <f>AND(#REF!,"AAAAAG/diRY=")</f>
        <v>#REF!</v>
      </c>
      <c r="X13" t="e">
        <f>AND(#REF!,"AAAAAG/diRc=")</f>
        <v>#REF!</v>
      </c>
      <c r="Y13" t="e">
        <f>IF(#REF!,"AAAAAG/diRg=",0)</f>
        <v>#REF!</v>
      </c>
      <c r="Z13" t="e">
        <f>AND(#REF!,"AAAAAG/diRk=")</f>
        <v>#REF!</v>
      </c>
      <c r="AA13" t="e">
        <f>AND(#REF!,"AAAAAG/diRo=")</f>
        <v>#REF!</v>
      </c>
      <c r="AB13" t="e">
        <f>AND(#REF!,"AAAAAG/diRs=")</f>
        <v>#REF!</v>
      </c>
      <c r="AC13" t="e">
        <f>AND(#REF!,"AAAAAG/diRw=")</f>
        <v>#REF!</v>
      </c>
      <c r="AD13" t="e">
        <f>AND(#REF!,"AAAAAG/diR0=")</f>
        <v>#REF!</v>
      </c>
      <c r="AE13" t="e">
        <f>AND(#REF!,"AAAAAG/diR4=")</f>
        <v>#REF!</v>
      </c>
      <c r="AF13" t="e">
        <f>AND(#REF!,"AAAAAG/diR8=")</f>
        <v>#REF!</v>
      </c>
      <c r="AG13" t="e">
        <f>AND(#REF!,"AAAAAG/diSA=")</f>
        <v>#REF!</v>
      </c>
      <c r="AH13" t="e">
        <f>IF(#REF!,"AAAAAG/diSE=",0)</f>
        <v>#REF!</v>
      </c>
      <c r="AI13" t="e">
        <f>AND(#REF!,"AAAAAG/diSI=")</f>
        <v>#REF!</v>
      </c>
      <c r="AJ13" t="e">
        <f>AND(#REF!,"AAAAAG/diSM=")</f>
        <v>#REF!</v>
      </c>
      <c r="AK13" t="e">
        <f>AND(#REF!,"AAAAAG/diSQ=")</f>
        <v>#REF!</v>
      </c>
      <c r="AL13" t="e">
        <f>AND(#REF!,"AAAAAG/diSU=")</f>
        <v>#REF!</v>
      </c>
      <c r="AM13" t="e">
        <f>AND(#REF!,"AAAAAG/diSY=")</f>
        <v>#REF!</v>
      </c>
      <c r="AN13" t="e">
        <f>AND(#REF!,"AAAAAG/diSc=")</f>
        <v>#REF!</v>
      </c>
      <c r="AO13" t="e">
        <f>AND(#REF!,"AAAAAG/diSg=")</f>
        <v>#REF!</v>
      </c>
      <c r="AP13" t="e">
        <f>AND(#REF!,"AAAAAG/diSk=")</f>
        <v>#REF!</v>
      </c>
      <c r="AQ13" t="e">
        <f>IF(#REF!,"AAAAAG/diSo=",0)</f>
        <v>#REF!</v>
      </c>
      <c r="AR13" t="e">
        <f>AND(#REF!,"AAAAAG/diSs=")</f>
        <v>#REF!</v>
      </c>
      <c r="AS13" t="e">
        <f>AND(#REF!,"AAAAAG/diSw=")</f>
        <v>#REF!</v>
      </c>
      <c r="AT13" t="e">
        <f>AND(#REF!,"AAAAAG/diS0=")</f>
        <v>#REF!</v>
      </c>
      <c r="AU13" t="e">
        <f>AND(#REF!,"AAAAAG/diS4=")</f>
        <v>#REF!</v>
      </c>
      <c r="AV13" t="e">
        <f>AND(#REF!,"AAAAAG/diS8=")</f>
        <v>#REF!</v>
      </c>
      <c r="AW13" t="e">
        <f>AND(#REF!,"AAAAAG/diTA=")</f>
        <v>#REF!</v>
      </c>
      <c r="AX13" t="e">
        <f>AND(#REF!,"AAAAAG/diTE=")</f>
        <v>#REF!</v>
      </c>
      <c r="AY13" t="e">
        <f>AND(#REF!,"AAAAAG/diTI=")</f>
        <v>#REF!</v>
      </c>
      <c r="AZ13" t="e">
        <f>IF(#REF!,"AAAAAG/diTM=",0)</f>
        <v>#REF!</v>
      </c>
      <c r="BA13" t="e">
        <f>AND(#REF!,"AAAAAG/diTQ=")</f>
        <v>#REF!</v>
      </c>
      <c r="BB13" t="e">
        <f>AND(#REF!,"AAAAAG/diTU=")</f>
        <v>#REF!</v>
      </c>
      <c r="BC13" t="e">
        <f>AND(#REF!,"AAAAAG/diTY=")</f>
        <v>#REF!</v>
      </c>
      <c r="BD13" t="e">
        <f>AND(#REF!,"AAAAAG/diTc=")</f>
        <v>#REF!</v>
      </c>
      <c r="BE13" t="e">
        <f>AND(#REF!,"AAAAAG/diTg=")</f>
        <v>#REF!</v>
      </c>
      <c r="BF13" t="e">
        <f>AND(#REF!,"AAAAAG/diTk=")</f>
        <v>#REF!</v>
      </c>
      <c r="BG13" t="e">
        <f>AND(#REF!,"AAAAAG/diTo=")</f>
        <v>#REF!</v>
      </c>
      <c r="BH13" t="e">
        <f>AND(#REF!,"AAAAAG/diTs=")</f>
        <v>#REF!</v>
      </c>
      <c r="BI13" t="e">
        <f>IF(#REF!,"AAAAAG/diTw=",0)</f>
        <v>#REF!</v>
      </c>
      <c r="BJ13" t="e">
        <f>AND(#REF!,"AAAAAG/diT0=")</f>
        <v>#REF!</v>
      </c>
      <c r="BK13" t="e">
        <f>AND(#REF!,"AAAAAG/diT4=")</f>
        <v>#REF!</v>
      </c>
      <c r="BL13" t="e">
        <f>AND(#REF!,"AAAAAG/diT8=")</f>
        <v>#REF!</v>
      </c>
      <c r="BM13" t="e">
        <f>AND(#REF!,"AAAAAG/diUA=")</f>
        <v>#REF!</v>
      </c>
      <c r="BN13" t="e">
        <f>AND(#REF!,"AAAAAG/diUE=")</f>
        <v>#REF!</v>
      </c>
      <c r="BO13" t="e">
        <f>AND(#REF!,"AAAAAG/diUI=")</f>
        <v>#REF!</v>
      </c>
      <c r="BP13" t="e">
        <f>AND(#REF!,"AAAAAG/diUM=")</f>
        <v>#REF!</v>
      </c>
      <c r="BQ13" t="e">
        <f>AND(#REF!,"AAAAAG/diUQ=")</f>
        <v>#REF!</v>
      </c>
      <c r="BR13" t="e">
        <f>IF(#REF!,"AAAAAG/diUU=",0)</f>
        <v>#REF!</v>
      </c>
      <c r="BS13" t="e">
        <f>AND(#REF!,"AAAAAG/diUY=")</f>
        <v>#REF!</v>
      </c>
      <c r="BT13" t="e">
        <f>AND(#REF!,"AAAAAG/diUc=")</f>
        <v>#REF!</v>
      </c>
      <c r="BU13" t="e">
        <f>AND(#REF!,"AAAAAG/diUg=")</f>
        <v>#REF!</v>
      </c>
      <c r="BV13" t="e">
        <f>AND(#REF!,"AAAAAG/diUk=")</f>
        <v>#REF!</v>
      </c>
      <c r="BW13" t="e">
        <f>AND(#REF!,"AAAAAG/diUo=")</f>
        <v>#REF!</v>
      </c>
      <c r="BX13" t="e">
        <f>AND(#REF!,"AAAAAG/diUs=")</f>
        <v>#REF!</v>
      </c>
      <c r="BY13" t="e">
        <f>AND(#REF!,"AAAAAG/diUw=")</f>
        <v>#REF!</v>
      </c>
      <c r="BZ13" t="e">
        <f>AND(#REF!,"AAAAAG/diU0=")</f>
        <v>#REF!</v>
      </c>
      <c r="CA13" t="e">
        <f>IF(#REF!,"AAAAAG/diU4=",0)</f>
        <v>#REF!</v>
      </c>
      <c r="CB13" t="e">
        <f>IF(#REF!,"AAAAAG/diU8=",0)</f>
        <v>#REF!</v>
      </c>
      <c r="CC13" t="e">
        <f>IF(#REF!,"AAAAAG/diVA=",0)</f>
        <v>#REF!</v>
      </c>
      <c r="CD13" t="e">
        <f>IF(#REF!,"AAAAAG/diVE=",0)</f>
        <v>#REF!</v>
      </c>
      <c r="CE13" t="e">
        <f>IF(#REF!,"AAAAAG/diVI=",0)</f>
        <v>#REF!</v>
      </c>
      <c r="CF13" t="e">
        <f>IF(#REF!,"AAAAAG/diVM=",0)</f>
        <v>#REF!</v>
      </c>
      <c r="CG13" t="e">
        <f>IF(#REF!,"AAAAAG/diVQ=",0)</f>
        <v>#REF!</v>
      </c>
      <c r="CH13" t="e">
        <f>IF(#REF!,"AAAAAG/diVU=",0)</f>
        <v>#REF!</v>
      </c>
      <c r="CI13" t="e">
        <f>IF(#REF!,"AAAAAG/diVY=",0)</f>
        <v>#REF!</v>
      </c>
      <c r="CJ13" t="e">
        <f>IF(#REF!,"AAAAAG/diVc=",0)</f>
        <v>#REF!</v>
      </c>
      <c r="CK13" t="e">
        <f>IF(#REF!,"AAAAAG/diVg=",0)</f>
        <v>#REF!</v>
      </c>
      <c r="CL13" t="e">
        <f>IF(#REF!,"AAAAAG/diVk=",0)</f>
        <v>#REF!</v>
      </c>
      <c r="CM13" t="e">
        <f>IF(#REF!,"AAAAAG/diVo=",0)</f>
        <v>#REF!</v>
      </c>
      <c r="CN13" t="e">
        <f>AND(#REF!,"AAAAAG/diVs=")</f>
        <v>#REF!</v>
      </c>
      <c r="CO13" t="e">
        <f>AND(#REF!,"AAAAAG/diVw=")</f>
        <v>#REF!</v>
      </c>
      <c r="CP13" t="e">
        <f>AND(#REF!,"AAAAAG/diV0=")</f>
        <v>#REF!</v>
      </c>
      <c r="CQ13" t="e">
        <f>AND(#REF!,"AAAAAG/diV4=")</f>
        <v>#REF!</v>
      </c>
      <c r="CR13" t="e">
        <f>AND(#REF!,"AAAAAG/diV8=")</f>
        <v>#REF!</v>
      </c>
      <c r="CS13" t="e">
        <f>AND(#REF!,"AAAAAG/diWA=")</f>
        <v>#REF!</v>
      </c>
      <c r="CT13" t="e">
        <f>AND(#REF!,"AAAAAG/diWE=")</f>
        <v>#REF!</v>
      </c>
      <c r="CU13" t="e">
        <f>AND(#REF!,"AAAAAG/diWI=")</f>
        <v>#REF!</v>
      </c>
      <c r="CV13" t="e">
        <f>IF(#REF!,"AAAAAG/diWM=",0)</f>
        <v>#REF!</v>
      </c>
      <c r="CW13" t="e">
        <f>AND(#REF!,"AAAAAG/diWQ=")</f>
        <v>#REF!</v>
      </c>
      <c r="CX13" t="e">
        <f>AND(#REF!,"AAAAAG/diWU=")</f>
        <v>#REF!</v>
      </c>
      <c r="CY13" t="e">
        <f>AND(#REF!,"AAAAAG/diWY=")</f>
        <v>#REF!</v>
      </c>
      <c r="CZ13" t="e">
        <f>AND(#REF!,"AAAAAG/diWc=")</f>
        <v>#REF!</v>
      </c>
      <c r="DA13" t="e">
        <f>AND(#REF!,"AAAAAG/diWg=")</f>
        <v>#REF!</v>
      </c>
      <c r="DB13" t="e">
        <f>AND(#REF!,"AAAAAG/diWk=")</f>
        <v>#REF!</v>
      </c>
      <c r="DC13" t="e">
        <f>AND(#REF!,"AAAAAG/diWo=")</f>
        <v>#REF!</v>
      </c>
      <c r="DD13" t="e">
        <f>AND(#REF!,"AAAAAG/diWs=")</f>
        <v>#REF!</v>
      </c>
      <c r="DE13" t="e">
        <f>IF(#REF!,"AAAAAG/diWw=",0)</f>
        <v>#REF!</v>
      </c>
      <c r="DF13" t="e">
        <f>AND(#REF!,"AAAAAG/diW0=")</f>
        <v>#REF!</v>
      </c>
      <c r="DG13" t="e">
        <f>AND(#REF!,"AAAAAG/diW4=")</f>
        <v>#REF!</v>
      </c>
      <c r="DH13" t="e">
        <f>AND(#REF!,"AAAAAG/diW8=")</f>
        <v>#REF!</v>
      </c>
      <c r="DI13" t="e">
        <f>AND(#REF!,"AAAAAG/diXA=")</f>
        <v>#REF!</v>
      </c>
      <c r="DJ13" t="e">
        <f>AND(#REF!,"AAAAAG/diXE=")</f>
        <v>#REF!</v>
      </c>
      <c r="DK13" t="e">
        <f>AND(#REF!,"AAAAAG/diXI=")</f>
        <v>#REF!</v>
      </c>
      <c r="DL13" t="e">
        <f>AND(#REF!,"AAAAAG/diXM=")</f>
        <v>#REF!</v>
      </c>
      <c r="DM13" t="e">
        <f>AND(#REF!,"AAAAAG/diXQ=")</f>
        <v>#REF!</v>
      </c>
      <c r="DN13" t="e">
        <f>IF(#REF!,"AAAAAG/diXU=",0)</f>
        <v>#REF!</v>
      </c>
      <c r="DO13" t="e">
        <f>AND(#REF!,"AAAAAG/diXY=")</f>
        <v>#REF!</v>
      </c>
      <c r="DP13" t="e">
        <f>AND(#REF!,"AAAAAG/diXc=")</f>
        <v>#REF!</v>
      </c>
      <c r="DQ13" t="e">
        <f>AND(#REF!,"AAAAAG/diXg=")</f>
        <v>#REF!</v>
      </c>
      <c r="DR13" t="e">
        <f>AND(#REF!,"AAAAAG/diXk=")</f>
        <v>#REF!</v>
      </c>
      <c r="DS13" t="e">
        <f>AND(#REF!,"AAAAAG/diXo=")</f>
        <v>#REF!</v>
      </c>
      <c r="DT13" t="e">
        <f>AND(#REF!,"AAAAAG/diXs=")</f>
        <v>#REF!</v>
      </c>
      <c r="DU13" t="e">
        <f>AND(#REF!,"AAAAAG/diXw=")</f>
        <v>#REF!</v>
      </c>
      <c r="DV13" t="e">
        <f>AND(#REF!,"AAAAAG/diX0=")</f>
        <v>#REF!</v>
      </c>
      <c r="DW13" t="e">
        <f>IF(#REF!,"AAAAAG/diX4=",0)</f>
        <v>#REF!</v>
      </c>
      <c r="DX13" t="e">
        <f>AND(#REF!,"AAAAAG/diX8=")</f>
        <v>#REF!</v>
      </c>
      <c r="DY13" t="e">
        <f>AND(#REF!,"AAAAAG/diYA=")</f>
        <v>#REF!</v>
      </c>
      <c r="DZ13" t="e">
        <f>AND(#REF!,"AAAAAG/diYE=")</f>
        <v>#REF!</v>
      </c>
      <c r="EA13" t="e">
        <f>AND(#REF!,"AAAAAG/diYI=")</f>
        <v>#REF!</v>
      </c>
      <c r="EB13" t="e">
        <f>AND(#REF!,"AAAAAG/diYM=")</f>
        <v>#REF!</v>
      </c>
      <c r="EC13" t="e">
        <f>AND(#REF!,"AAAAAG/diYQ=")</f>
        <v>#REF!</v>
      </c>
      <c r="ED13" t="e">
        <f>AND(#REF!,"AAAAAG/diYU=")</f>
        <v>#REF!</v>
      </c>
      <c r="EE13" t="e">
        <f>AND(#REF!,"AAAAAG/diYY=")</f>
        <v>#REF!</v>
      </c>
      <c r="EF13" t="e">
        <f>IF(#REF!,"AAAAAG/diYc=",0)</f>
        <v>#REF!</v>
      </c>
      <c r="EG13" t="e">
        <f>AND(#REF!,"AAAAAG/diYg=")</f>
        <v>#REF!</v>
      </c>
      <c r="EH13" t="e">
        <f>AND(#REF!,"AAAAAG/diYk=")</f>
        <v>#REF!</v>
      </c>
      <c r="EI13" t="e">
        <f>AND(#REF!,"AAAAAG/diYo=")</f>
        <v>#REF!</v>
      </c>
      <c r="EJ13" t="e">
        <f>AND(#REF!,"AAAAAG/diYs=")</f>
        <v>#REF!</v>
      </c>
      <c r="EK13" t="e">
        <f>AND(#REF!,"AAAAAG/diYw=")</f>
        <v>#REF!</v>
      </c>
      <c r="EL13" t="e">
        <f>AND(#REF!,"AAAAAG/diY0=")</f>
        <v>#REF!</v>
      </c>
      <c r="EM13" t="e">
        <f>AND(#REF!,"AAAAAG/diY4=")</f>
        <v>#REF!</v>
      </c>
      <c r="EN13" t="e">
        <f>AND(#REF!,"AAAAAG/diY8=")</f>
        <v>#REF!</v>
      </c>
      <c r="EO13" t="e">
        <f>IF(#REF!,"AAAAAG/diZA=",0)</f>
        <v>#REF!</v>
      </c>
      <c r="EP13" t="e">
        <f>AND(#REF!,"AAAAAG/diZE=")</f>
        <v>#REF!</v>
      </c>
      <c r="EQ13" t="e">
        <f>AND(#REF!,"AAAAAG/diZI=")</f>
        <v>#REF!</v>
      </c>
      <c r="ER13" t="e">
        <f>AND(#REF!,"AAAAAG/diZM=")</f>
        <v>#REF!</v>
      </c>
      <c r="ES13" t="e">
        <f>AND(#REF!,"AAAAAG/diZQ=")</f>
        <v>#REF!</v>
      </c>
      <c r="ET13" t="e">
        <f>AND(#REF!,"AAAAAG/diZU=")</f>
        <v>#REF!</v>
      </c>
      <c r="EU13" t="e">
        <f>AND(#REF!,"AAAAAG/diZY=")</f>
        <v>#REF!</v>
      </c>
      <c r="EV13" t="e">
        <f>AND(#REF!,"AAAAAG/diZc=")</f>
        <v>#REF!</v>
      </c>
      <c r="EW13" t="e">
        <f>AND(#REF!,"AAAAAG/diZg=")</f>
        <v>#REF!</v>
      </c>
      <c r="EX13" t="e">
        <f>IF(#REF!,"AAAAAG/diZk=",0)</f>
        <v>#REF!</v>
      </c>
      <c r="EY13" t="e">
        <f>AND(#REF!,"AAAAAG/diZo=")</f>
        <v>#REF!</v>
      </c>
      <c r="EZ13" t="e">
        <f>AND(#REF!,"AAAAAG/diZs=")</f>
        <v>#REF!</v>
      </c>
      <c r="FA13" t="e">
        <f>AND(#REF!,"AAAAAG/diZw=")</f>
        <v>#REF!</v>
      </c>
      <c r="FB13" t="e">
        <f>AND(#REF!,"AAAAAG/diZ0=")</f>
        <v>#REF!</v>
      </c>
      <c r="FC13" t="e">
        <f>AND(#REF!,"AAAAAG/diZ4=")</f>
        <v>#REF!</v>
      </c>
      <c r="FD13" t="e">
        <f>AND(#REF!,"AAAAAG/diZ8=")</f>
        <v>#REF!</v>
      </c>
      <c r="FE13" t="e">
        <f>AND(#REF!,"AAAAAG/diaA=")</f>
        <v>#REF!</v>
      </c>
      <c r="FF13" t="e">
        <f>AND(#REF!,"AAAAAG/diaE=")</f>
        <v>#REF!</v>
      </c>
      <c r="FG13" t="e">
        <f>IF(#REF!,"AAAAAG/diaI=",0)</f>
        <v>#REF!</v>
      </c>
      <c r="FH13" t="e">
        <f>AND(#REF!,"AAAAAG/diaM=")</f>
        <v>#REF!</v>
      </c>
      <c r="FI13" t="e">
        <f>AND(#REF!,"AAAAAG/diaQ=")</f>
        <v>#REF!</v>
      </c>
      <c r="FJ13" t="e">
        <f>AND(#REF!,"AAAAAG/diaU=")</f>
        <v>#REF!</v>
      </c>
      <c r="FK13" t="e">
        <f>AND(#REF!,"AAAAAG/diaY=")</f>
        <v>#REF!</v>
      </c>
      <c r="FL13" t="e">
        <f>AND(#REF!,"AAAAAG/diac=")</f>
        <v>#REF!</v>
      </c>
      <c r="FM13" t="e">
        <f>AND(#REF!,"AAAAAG/diag=")</f>
        <v>#REF!</v>
      </c>
      <c r="FN13" t="e">
        <f>AND(#REF!,"AAAAAG/diak=")</f>
        <v>#REF!</v>
      </c>
      <c r="FO13" t="e">
        <f>AND(#REF!,"AAAAAG/diao=")</f>
        <v>#REF!</v>
      </c>
      <c r="FP13" t="e">
        <f>IF(#REF!,"AAAAAG/dias=",0)</f>
        <v>#REF!</v>
      </c>
      <c r="FQ13" t="e">
        <f>AND(#REF!,"AAAAAG/diaw=")</f>
        <v>#REF!</v>
      </c>
      <c r="FR13" t="e">
        <f>AND(#REF!,"AAAAAG/dia0=")</f>
        <v>#REF!</v>
      </c>
      <c r="FS13" t="e">
        <f>AND(#REF!,"AAAAAG/dia4=")</f>
        <v>#REF!</v>
      </c>
      <c r="FT13" t="e">
        <f>AND(#REF!,"AAAAAG/dia8=")</f>
        <v>#REF!</v>
      </c>
      <c r="FU13" t="e">
        <f>AND(#REF!,"AAAAAG/dibA=")</f>
        <v>#REF!</v>
      </c>
      <c r="FV13" t="e">
        <f>AND(#REF!,"AAAAAG/dibE=")</f>
        <v>#REF!</v>
      </c>
      <c r="FW13" t="e">
        <f>AND(#REF!,"AAAAAG/dibI=")</f>
        <v>#REF!</v>
      </c>
      <c r="FX13" t="e">
        <f>AND(#REF!,"AAAAAG/dibM=")</f>
        <v>#REF!</v>
      </c>
      <c r="FY13" t="e">
        <f>IF(#REF!,"AAAAAG/dibQ=",0)</f>
        <v>#REF!</v>
      </c>
      <c r="FZ13" t="e">
        <f>AND(#REF!,"AAAAAG/dibU=")</f>
        <v>#REF!</v>
      </c>
      <c r="GA13" t="e">
        <f>AND(#REF!,"AAAAAG/dibY=")</f>
        <v>#REF!</v>
      </c>
      <c r="GB13" t="e">
        <f>AND(#REF!,"AAAAAG/dibc=")</f>
        <v>#REF!</v>
      </c>
      <c r="GC13" t="e">
        <f>AND(#REF!,"AAAAAG/dibg=")</f>
        <v>#REF!</v>
      </c>
      <c r="GD13" t="e">
        <f>AND(#REF!,"AAAAAG/dibk=")</f>
        <v>#REF!</v>
      </c>
      <c r="GE13" t="e">
        <f>AND(#REF!,"AAAAAG/dibo=")</f>
        <v>#REF!</v>
      </c>
      <c r="GF13" t="e">
        <f>AND(#REF!,"AAAAAG/dibs=")</f>
        <v>#REF!</v>
      </c>
      <c r="GG13" t="e">
        <f>AND(#REF!,"AAAAAG/dibw=")</f>
        <v>#REF!</v>
      </c>
      <c r="GH13" t="e">
        <f>IF(#REF!,"AAAAAG/dib0=",0)</f>
        <v>#REF!</v>
      </c>
      <c r="GI13" t="e">
        <f>AND(#REF!,"AAAAAG/dib4=")</f>
        <v>#REF!</v>
      </c>
      <c r="GJ13" t="e">
        <f>AND(#REF!,"AAAAAG/dib8=")</f>
        <v>#REF!</v>
      </c>
      <c r="GK13" t="e">
        <f>AND(#REF!,"AAAAAG/dicA=")</f>
        <v>#REF!</v>
      </c>
      <c r="GL13" t="e">
        <f>AND(#REF!,"AAAAAG/dicE=")</f>
        <v>#REF!</v>
      </c>
      <c r="GM13" t="e">
        <f>AND(#REF!,"AAAAAG/dicI=")</f>
        <v>#REF!</v>
      </c>
      <c r="GN13" t="e">
        <f>AND(#REF!,"AAAAAG/dicM=")</f>
        <v>#REF!</v>
      </c>
      <c r="GO13" t="e">
        <f>AND(#REF!,"AAAAAG/dicQ=")</f>
        <v>#REF!</v>
      </c>
      <c r="GP13" t="e">
        <f>AND(#REF!,"AAAAAG/dicU=")</f>
        <v>#REF!</v>
      </c>
      <c r="GQ13" t="e">
        <f>IF(#REF!,"AAAAAG/dicY=",0)</f>
        <v>#REF!</v>
      </c>
      <c r="GR13" t="e">
        <f>AND(#REF!,"AAAAAG/dicc=")</f>
        <v>#REF!</v>
      </c>
      <c r="GS13" t="e">
        <f>AND(#REF!,"AAAAAG/dicg=")</f>
        <v>#REF!</v>
      </c>
      <c r="GT13" t="e">
        <f>AND(#REF!,"AAAAAG/dick=")</f>
        <v>#REF!</v>
      </c>
      <c r="GU13" t="e">
        <f>AND(#REF!,"AAAAAG/dico=")</f>
        <v>#REF!</v>
      </c>
      <c r="GV13" t="e">
        <f>AND(#REF!,"AAAAAG/dics=")</f>
        <v>#REF!</v>
      </c>
      <c r="GW13" t="e">
        <f>AND(#REF!,"AAAAAG/dicw=")</f>
        <v>#REF!</v>
      </c>
      <c r="GX13" t="e">
        <f>AND(#REF!,"AAAAAG/dic0=")</f>
        <v>#REF!</v>
      </c>
      <c r="GY13" t="e">
        <f>AND(#REF!,"AAAAAG/dic4=")</f>
        <v>#REF!</v>
      </c>
      <c r="GZ13" t="e">
        <f>IF(#REF!,"AAAAAG/dic8=",0)</f>
        <v>#REF!</v>
      </c>
      <c r="HA13" t="e">
        <f>AND(#REF!,"AAAAAG/didA=")</f>
        <v>#REF!</v>
      </c>
      <c r="HB13" t="e">
        <f>AND(#REF!,"AAAAAG/didE=")</f>
        <v>#REF!</v>
      </c>
      <c r="HC13" t="e">
        <f>AND(#REF!,"AAAAAG/didI=")</f>
        <v>#REF!</v>
      </c>
      <c r="HD13" t="e">
        <f>AND(#REF!,"AAAAAG/didM=")</f>
        <v>#REF!</v>
      </c>
      <c r="HE13" t="e">
        <f>AND(#REF!,"AAAAAG/didQ=")</f>
        <v>#REF!</v>
      </c>
      <c r="HF13" t="e">
        <f>AND(#REF!,"AAAAAG/didU=")</f>
        <v>#REF!</v>
      </c>
      <c r="HG13" t="e">
        <f>AND(#REF!,"AAAAAG/didY=")</f>
        <v>#REF!</v>
      </c>
      <c r="HH13" t="e">
        <f>AND(#REF!,"AAAAAG/didc=")</f>
        <v>#REF!</v>
      </c>
      <c r="HI13" t="e">
        <f>IF(#REF!,"AAAAAG/didg=",0)</f>
        <v>#REF!</v>
      </c>
      <c r="HJ13" t="e">
        <f>AND(#REF!,"AAAAAG/didk=")</f>
        <v>#REF!</v>
      </c>
      <c r="HK13" t="e">
        <f>AND(#REF!,"AAAAAG/dido=")</f>
        <v>#REF!</v>
      </c>
      <c r="HL13" t="e">
        <f>AND(#REF!,"AAAAAG/dids=")</f>
        <v>#REF!</v>
      </c>
      <c r="HM13" t="e">
        <f>AND(#REF!,"AAAAAG/didw=")</f>
        <v>#REF!</v>
      </c>
      <c r="HN13" t="e">
        <f>AND(#REF!,"AAAAAG/did0=")</f>
        <v>#REF!</v>
      </c>
      <c r="HO13" t="e">
        <f>AND(#REF!,"AAAAAG/did4=")</f>
        <v>#REF!</v>
      </c>
      <c r="HP13" t="e">
        <f>AND(#REF!,"AAAAAG/did8=")</f>
        <v>#REF!</v>
      </c>
      <c r="HQ13" t="e">
        <f>AND(#REF!,"AAAAAG/dieA=")</f>
        <v>#REF!</v>
      </c>
      <c r="HR13" t="e">
        <f>IF(#REF!,"AAAAAG/dieE=",0)</f>
        <v>#REF!</v>
      </c>
      <c r="HS13" t="e">
        <f>AND(#REF!,"AAAAAG/dieI=")</f>
        <v>#REF!</v>
      </c>
      <c r="HT13" t="e">
        <f>AND(#REF!,"AAAAAG/dieM=")</f>
        <v>#REF!</v>
      </c>
      <c r="HU13" t="e">
        <f>AND(#REF!,"AAAAAG/dieQ=")</f>
        <v>#REF!</v>
      </c>
      <c r="HV13" t="e">
        <f>AND(#REF!,"AAAAAG/dieU=")</f>
        <v>#REF!</v>
      </c>
      <c r="HW13" t="e">
        <f>AND(#REF!,"AAAAAG/dieY=")</f>
        <v>#REF!</v>
      </c>
      <c r="HX13" t="e">
        <f>AND(#REF!,"AAAAAG/diec=")</f>
        <v>#REF!</v>
      </c>
      <c r="HY13" t="e">
        <f>AND(#REF!,"AAAAAG/dieg=")</f>
        <v>#REF!</v>
      </c>
      <c r="HZ13" t="e">
        <f>AND(#REF!,"AAAAAG/diek=")</f>
        <v>#REF!</v>
      </c>
      <c r="IA13" t="e">
        <f>IF(#REF!,"AAAAAG/dieo=",0)</f>
        <v>#REF!</v>
      </c>
      <c r="IB13" t="e">
        <f>AND(#REF!,"AAAAAG/dies=")</f>
        <v>#REF!</v>
      </c>
      <c r="IC13" t="e">
        <f>AND(#REF!,"AAAAAG/diew=")</f>
        <v>#REF!</v>
      </c>
      <c r="ID13" t="e">
        <f>AND(#REF!,"AAAAAG/die0=")</f>
        <v>#REF!</v>
      </c>
      <c r="IE13" t="e">
        <f>AND(#REF!,"AAAAAG/die4=")</f>
        <v>#REF!</v>
      </c>
      <c r="IF13" t="e">
        <f>AND(#REF!,"AAAAAG/die8=")</f>
        <v>#REF!</v>
      </c>
      <c r="IG13" t="e">
        <f>AND(#REF!,"AAAAAG/difA=")</f>
        <v>#REF!</v>
      </c>
      <c r="IH13" t="e">
        <f>AND(#REF!,"AAAAAG/difE=")</f>
        <v>#REF!</v>
      </c>
      <c r="II13" t="e">
        <f>AND(#REF!,"AAAAAG/difI=")</f>
        <v>#REF!</v>
      </c>
      <c r="IJ13" t="e">
        <f>IF(#REF!,"AAAAAG/difM=",0)</f>
        <v>#REF!</v>
      </c>
      <c r="IK13" t="e">
        <f>AND(#REF!,"AAAAAG/difQ=")</f>
        <v>#REF!</v>
      </c>
      <c r="IL13" t="e">
        <f>AND(#REF!,"AAAAAG/difU=")</f>
        <v>#REF!</v>
      </c>
      <c r="IM13" t="e">
        <f>AND(#REF!,"AAAAAG/difY=")</f>
        <v>#REF!</v>
      </c>
      <c r="IN13" t="e">
        <f>AND(#REF!,"AAAAAG/difc=")</f>
        <v>#REF!</v>
      </c>
      <c r="IO13" t="e">
        <f>AND(#REF!,"AAAAAG/difg=")</f>
        <v>#REF!</v>
      </c>
      <c r="IP13" t="e">
        <f>AND(#REF!,"AAAAAG/difk=")</f>
        <v>#REF!</v>
      </c>
      <c r="IQ13" t="e">
        <f>AND(#REF!,"AAAAAG/difo=")</f>
        <v>#REF!</v>
      </c>
      <c r="IR13" t="e">
        <f>AND(#REF!,"AAAAAG/difs=")</f>
        <v>#REF!</v>
      </c>
      <c r="IS13" t="e">
        <f>IF(#REF!,"AAAAAG/difw=",0)</f>
        <v>#REF!</v>
      </c>
      <c r="IT13" t="e">
        <f>AND(#REF!,"AAAAAG/dif0=")</f>
        <v>#REF!</v>
      </c>
      <c r="IU13" t="e">
        <f>AND(#REF!,"AAAAAG/dif4=")</f>
        <v>#REF!</v>
      </c>
      <c r="IV13" t="e">
        <f>AND(#REF!,"AAAAAG/dif8=")</f>
        <v>#REF!</v>
      </c>
    </row>
    <row r="14" spans="1:256" ht="15">
      <c r="A14" t="e">
        <f>AND(#REF!,"AAAAAH7AnQA=")</f>
        <v>#REF!</v>
      </c>
      <c r="B14" t="e">
        <f>AND(#REF!,"AAAAAH7AnQE=")</f>
        <v>#REF!</v>
      </c>
      <c r="C14" t="e">
        <f>AND(#REF!,"AAAAAH7AnQI=")</f>
        <v>#REF!</v>
      </c>
      <c r="D14" t="e">
        <f>AND(#REF!,"AAAAAH7AnQM=")</f>
        <v>#REF!</v>
      </c>
      <c r="E14" t="e">
        <f>AND(#REF!,"AAAAAH7AnQQ=")</f>
        <v>#REF!</v>
      </c>
      <c r="F14" t="e">
        <f>IF(#REF!,"AAAAAH7AnQU=",0)</f>
        <v>#REF!</v>
      </c>
      <c r="G14" t="e">
        <f>AND(#REF!,"AAAAAH7AnQY=")</f>
        <v>#REF!</v>
      </c>
      <c r="H14" t="e">
        <f>AND(#REF!,"AAAAAH7AnQc=")</f>
        <v>#REF!</v>
      </c>
      <c r="I14" t="e">
        <f>AND(#REF!,"AAAAAH7AnQg=")</f>
        <v>#REF!</v>
      </c>
      <c r="J14" t="e">
        <f>AND(#REF!,"AAAAAH7AnQk=")</f>
        <v>#REF!</v>
      </c>
      <c r="K14" t="e">
        <f>AND(#REF!,"AAAAAH7AnQo=")</f>
        <v>#REF!</v>
      </c>
      <c r="L14" t="e">
        <f>AND(#REF!,"AAAAAH7AnQs=")</f>
        <v>#REF!</v>
      </c>
      <c r="M14" t="e">
        <f>AND(#REF!,"AAAAAH7AnQw=")</f>
        <v>#REF!</v>
      </c>
      <c r="N14" t="e">
        <f>AND(#REF!,"AAAAAH7AnQ0=")</f>
        <v>#REF!</v>
      </c>
      <c r="O14" t="e">
        <f>IF(#REF!,"AAAAAH7AnQ4=",0)</f>
        <v>#REF!</v>
      </c>
      <c r="P14" t="e">
        <f>AND(#REF!,"AAAAAH7AnQ8=")</f>
        <v>#REF!</v>
      </c>
      <c r="Q14" t="e">
        <f>AND(#REF!,"AAAAAH7AnRA=")</f>
        <v>#REF!</v>
      </c>
      <c r="R14" t="e">
        <f>AND(#REF!,"AAAAAH7AnRE=")</f>
        <v>#REF!</v>
      </c>
      <c r="S14" t="e">
        <f>AND(#REF!,"AAAAAH7AnRI=")</f>
        <v>#REF!</v>
      </c>
      <c r="T14" t="e">
        <f>AND(#REF!,"AAAAAH7AnRM=")</f>
        <v>#REF!</v>
      </c>
      <c r="U14" t="e">
        <f>AND(#REF!,"AAAAAH7AnRQ=")</f>
        <v>#REF!</v>
      </c>
      <c r="V14" t="e">
        <f>AND(#REF!,"AAAAAH7AnRU=")</f>
        <v>#REF!</v>
      </c>
      <c r="W14" t="e">
        <f>AND(#REF!,"AAAAAH7AnRY=")</f>
        <v>#REF!</v>
      </c>
      <c r="X14" t="e">
        <f>IF(#REF!,"AAAAAH7AnRc=",0)</f>
        <v>#REF!</v>
      </c>
      <c r="Y14" t="e">
        <f>AND(#REF!,"AAAAAH7AnRg=")</f>
        <v>#REF!</v>
      </c>
      <c r="Z14" t="e">
        <f>AND(#REF!,"AAAAAH7AnRk=")</f>
        <v>#REF!</v>
      </c>
      <c r="AA14" t="e">
        <f>AND(#REF!,"AAAAAH7AnRo=")</f>
        <v>#REF!</v>
      </c>
      <c r="AB14" t="e">
        <f>AND(#REF!,"AAAAAH7AnRs=")</f>
        <v>#REF!</v>
      </c>
      <c r="AC14" t="e">
        <f>AND(#REF!,"AAAAAH7AnRw=")</f>
        <v>#REF!</v>
      </c>
      <c r="AD14" t="e">
        <f>AND(#REF!,"AAAAAH7AnR0=")</f>
        <v>#REF!</v>
      </c>
      <c r="AE14" t="e">
        <f>AND(#REF!,"AAAAAH7AnR4=")</f>
        <v>#REF!</v>
      </c>
      <c r="AF14" t="e">
        <f>AND(#REF!,"AAAAAH7AnR8=")</f>
        <v>#REF!</v>
      </c>
      <c r="AG14" t="e">
        <f>IF(#REF!,"AAAAAH7AnSA=",0)</f>
        <v>#REF!</v>
      </c>
      <c r="AH14" t="e">
        <f>AND(#REF!,"AAAAAH7AnSE=")</f>
        <v>#REF!</v>
      </c>
      <c r="AI14" t="e">
        <f>AND(#REF!,"AAAAAH7AnSI=")</f>
        <v>#REF!</v>
      </c>
      <c r="AJ14" t="e">
        <f>AND(#REF!,"AAAAAH7AnSM=")</f>
        <v>#REF!</v>
      </c>
      <c r="AK14" t="e">
        <f>AND(#REF!,"AAAAAH7AnSQ=")</f>
        <v>#REF!</v>
      </c>
      <c r="AL14" t="e">
        <f>AND(#REF!,"AAAAAH7AnSU=")</f>
        <v>#REF!</v>
      </c>
      <c r="AM14" t="e">
        <f>AND(#REF!,"AAAAAH7AnSY=")</f>
        <v>#REF!</v>
      </c>
      <c r="AN14" t="e">
        <f>AND(#REF!,"AAAAAH7AnSc=")</f>
        <v>#REF!</v>
      </c>
      <c r="AO14" t="e">
        <f>AND(#REF!,"AAAAAH7AnSg=")</f>
        <v>#REF!</v>
      </c>
      <c r="AP14" t="e">
        <f>IF(#REF!,"AAAAAH7AnSk=",0)</f>
        <v>#REF!</v>
      </c>
      <c r="AQ14" t="e">
        <f>AND(#REF!,"AAAAAH7AnSo=")</f>
        <v>#REF!</v>
      </c>
      <c r="AR14" t="e">
        <f>AND(#REF!,"AAAAAH7AnSs=")</f>
        <v>#REF!</v>
      </c>
      <c r="AS14" t="e">
        <f>AND(#REF!,"AAAAAH7AnSw=")</f>
        <v>#REF!</v>
      </c>
      <c r="AT14" t="e">
        <f>AND(#REF!,"AAAAAH7AnS0=")</f>
        <v>#REF!</v>
      </c>
      <c r="AU14" t="e">
        <f>AND(#REF!,"AAAAAH7AnS4=")</f>
        <v>#REF!</v>
      </c>
      <c r="AV14" t="e">
        <f>AND(#REF!,"AAAAAH7AnS8=")</f>
        <v>#REF!</v>
      </c>
      <c r="AW14" t="e">
        <f>AND(#REF!,"AAAAAH7AnTA=")</f>
        <v>#REF!</v>
      </c>
      <c r="AX14" t="e">
        <f>AND(#REF!,"AAAAAH7AnTE=")</f>
        <v>#REF!</v>
      </c>
      <c r="AY14" t="e">
        <f>IF(#REF!,"AAAAAH7AnTI=",0)</f>
        <v>#REF!</v>
      </c>
      <c r="AZ14" t="e">
        <f>AND(#REF!,"AAAAAH7AnTM=")</f>
        <v>#REF!</v>
      </c>
      <c r="BA14" t="e">
        <f>AND(#REF!,"AAAAAH7AnTQ=")</f>
        <v>#REF!</v>
      </c>
      <c r="BB14" t="e">
        <f>AND(#REF!,"AAAAAH7AnTU=")</f>
        <v>#REF!</v>
      </c>
      <c r="BC14" t="e">
        <f>AND(#REF!,"AAAAAH7AnTY=")</f>
        <v>#REF!</v>
      </c>
      <c r="BD14" t="e">
        <f>AND(#REF!,"AAAAAH7AnTc=")</f>
        <v>#REF!</v>
      </c>
      <c r="BE14" t="e">
        <f>AND(#REF!,"AAAAAH7AnTg=")</f>
        <v>#REF!</v>
      </c>
      <c r="BF14" t="e">
        <f>AND(#REF!,"AAAAAH7AnTk=")</f>
        <v>#REF!</v>
      </c>
      <c r="BG14" t="e">
        <f>AND(#REF!,"AAAAAH7AnTo=")</f>
        <v>#REF!</v>
      </c>
      <c r="BH14" t="e">
        <f>IF(#REF!,"AAAAAH7AnTs=",0)</f>
        <v>#REF!</v>
      </c>
      <c r="BI14" t="e">
        <f>AND(#REF!,"AAAAAH7AnTw=")</f>
        <v>#REF!</v>
      </c>
      <c r="BJ14" t="e">
        <f>AND(#REF!,"AAAAAH7AnT0=")</f>
        <v>#REF!</v>
      </c>
      <c r="BK14" t="e">
        <f>AND(#REF!,"AAAAAH7AnT4=")</f>
        <v>#REF!</v>
      </c>
      <c r="BL14" t="e">
        <f>AND(#REF!,"AAAAAH7AnT8=")</f>
        <v>#REF!</v>
      </c>
      <c r="BM14" t="e">
        <f>AND(#REF!,"AAAAAH7AnUA=")</f>
        <v>#REF!</v>
      </c>
      <c r="BN14" t="e">
        <f>AND(#REF!,"AAAAAH7AnUE=")</f>
        <v>#REF!</v>
      </c>
      <c r="BO14" t="e">
        <f>AND(#REF!,"AAAAAH7AnUI=")</f>
        <v>#REF!</v>
      </c>
      <c r="BP14" t="e">
        <f>AND(#REF!,"AAAAAH7AnUM=")</f>
        <v>#REF!</v>
      </c>
      <c r="BQ14" t="e">
        <f>IF(#REF!,"AAAAAH7AnUQ=",0)</f>
        <v>#REF!</v>
      </c>
      <c r="BR14" t="e">
        <f>AND(#REF!,"AAAAAH7AnUU=")</f>
        <v>#REF!</v>
      </c>
      <c r="BS14" t="e">
        <f>AND(#REF!,"AAAAAH7AnUY=")</f>
        <v>#REF!</v>
      </c>
      <c r="BT14" t="e">
        <f>AND(#REF!,"AAAAAH7AnUc=")</f>
        <v>#REF!</v>
      </c>
      <c r="BU14" t="e">
        <f>AND(#REF!,"AAAAAH7AnUg=")</f>
        <v>#REF!</v>
      </c>
      <c r="BV14" t="e">
        <f>AND(#REF!,"AAAAAH7AnUk=")</f>
        <v>#REF!</v>
      </c>
      <c r="BW14" t="e">
        <f>AND(#REF!,"AAAAAH7AnUo=")</f>
        <v>#REF!</v>
      </c>
      <c r="BX14" t="e">
        <f>AND(#REF!,"AAAAAH7AnUs=")</f>
        <v>#REF!</v>
      </c>
      <c r="BY14" t="e">
        <f>AND(#REF!,"AAAAAH7AnUw=")</f>
        <v>#REF!</v>
      </c>
      <c r="BZ14" t="e">
        <f>IF(#REF!,"AAAAAH7AnU0=",0)</f>
        <v>#REF!</v>
      </c>
      <c r="CA14" t="e">
        <f>AND(#REF!,"AAAAAH7AnU4=")</f>
        <v>#REF!</v>
      </c>
      <c r="CB14" t="e">
        <f>AND(#REF!,"AAAAAH7AnU8=")</f>
        <v>#REF!</v>
      </c>
      <c r="CC14" t="e">
        <f>AND(#REF!,"AAAAAH7AnVA=")</f>
        <v>#REF!</v>
      </c>
      <c r="CD14" t="e">
        <f>AND(#REF!,"AAAAAH7AnVE=")</f>
        <v>#REF!</v>
      </c>
      <c r="CE14" t="e">
        <f>AND(#REF!,"AAAAAH7AnVI=")</f>
        <v>#REF!</v>
      </c>
      <c r="CF14" t="e">
        <f>AND(#REF!,"AAAAAH7AnVM=")</f>
        <v>#REF!</v>
      </c>
      <c r="CG14" t="e">
        <f>AND(#REF!,"AAAAAH7AnVQ=")</f>
        <v>#REF!</v>
      </c>
      <c r="CH14" t="e">
        <f>AND(#REF!,"AAAAAH7AnVU=")</f>
        <v>#REF!</v>
      </c>
      <c r="CI14" t="e">
        <f>IF(#REF!,"AAAAAH7AnVY=",0)</f>
        <v>#REF!</v>
      </c>
      <c r="CJ14" t="e">
        <f>AND(#REF!,"AAAAAH7AnVc=")</f>
        <v>#REF!</v>
      </c>
      <c r="CK14" t="e">
        <f>AND(#REF!,"AAAAAH7AnVg=")</f>
        <v>#REF!</v>
      </c>
      <c r="CL14" t="e">
        <f>AND(#REF!,"AAAAAH7AnVk=")</f>
        <v>#REF!</v>
      </c>
      <c r="CM14" t="e">
        <f>AND(#REF!,"AAAAAH7AnVo=")</f>
        <v>#REF!</v>
      </c>
      <c r="CN14" t="e">
        <f>AND(#REF!,"AAAAAH7AnVs=")</f>
        <v>#REF!</v>
      </c>
      <c r="CO14" t="e">
        <f>AND(#REF!,"AAAAAH7AnVw=")</f>
        <v>#REF!</v>
      </c>
      <c r="CP14" t="e">
        <f>AND(#REF!,"AAAAAH7AnV0=")</f>
        <v>#REF!</v>
      </c>
      <c r="CQ14" t="e">
        <f>AND(#REF!,"AAAAAH7AnV4=")</f>
        <v>#REF!</v>
      </c>
      <c r="CR14" t="e">
        <f>IF(#REF!,"AAAAAH7AnV8=",0)</f>
        <v>#REF!</v>
      </c>
      <c r="CS14" t="e">
        <f>AND(#REF!,"AAAAAH7AnWA=")</f>
        <v>#REF!</v>
      </c>
      <c r="CT14" t="e">
        <f>AND(#REF!,"AAAAAH7AnWE=")</f>
        <v>#REF!</v>
      </c>
      <c r="CU14" t="e">
        <f>AND(#REF!,"AAAAAH7AnWI=")</f>
        <v>#REF!</v>
      </c>
      <c r="CV14" t="e">
        <f>AND(#REF!,"AAAAAH7AnWM=")</f>
        <v>#REF!</v>
      </c>
      <c r="CW14" t="e">
        <f>AND(#REF!,"AAAAAH7AnWQ=")</f>
        <v>#REF!</v>
      </c>
      <c r="CX14" t="e">
        <f>AND(#REF!,"AAAAAH7AnWU=")</f>
        <v>#REF!</v>
      </c>
      <c r="CY14" t="e">
        <f>AND(#REF!,"AAAAAH7AnWY=")</f>
        <v>#REF!</v>
      </c>
      <c r="CZ14" t="e">
        <f>AND(#REF!,"AAAAAH7AnWc=")</f>
        <v>#REF!</v>
      </c>
      <c r="DA14" t="e">
        <f>IF(#REF!,"AAAAAH7AnWg=",0)</f>
        <v>#REF!</v>
      </c>
      <c r="DB14" t="e">
        <f>AND(#REF!,"AAAAAH7AnWk=")</f>
        <v>#REF!</v>
      </c>
      <c r="DC14" t="e">
        <f>AND(#REF!,"AAAAAH7AnWo=")</f>
        <v>#REF!</v>
      </c>
      <c r="DD14" t="e">
        <f>AND(#REF!,"AAAAAH7AnWs=")</f>
        <v>#REF!</v>
      </c>
      <c r="DE14" t="e">
        <f>AND(#REF!,"AAAAAH7AnWw=")</f>
        <v>#REF!</v>
      </c>
      <c r="DF14" t="e">
        <f>AND(#REF!,"AAAAAH7AnW0=")</f>
        <v>#REF!</v>
      </c>
      <c r="DG14" t="e">
        <f>AND(#REF!,"AAAAAH7AnW4=")</f>
        <v>#REF!</v>
      </c>
      <c r="DH14" t="e">
        <f>AND(#REF!,"AAAAAH7AnW8=")</f>
        <v>#REF!</v>
      </c>
      <c r="DI14" t="e">
        <f>AND(#REF!,"AAAAAH7AnXA=")</f>
        <v>#REF!</v>
      </c>
      <c r="DJ14" t="e">
        <f>IF(#REF!,"AAAAAH7AnXE=",0)</f>
        <v>#REF!</v>
      </c>
      <c r="DK14" t="e">
        <f>AND(#REF!,"AAAAAH7AnXI=")</f>
        <v>#REF!</v>
      </c>
      <c r="DL14" t="e">
        <f>AND(#REF!,"AAAAAH7AnXM=")</f>
        <v>#REF!</v>
      </c>
      <c r="DM14" t="e">
        <f>AND(#REF!,"AAAAAH7AnXQ=")</f>
        <v>#REF!</v>
      </c>
      <c r="DN14" t="e">
        <f>AND(#REF!,"AAAAAH7AnXU=")</f>
        <v>#REF!</v>
      </c>
      <c r="DO14" t="e">
        <f>AND(#REF!,"AAAAAH7AnXY=")</f>
        <v>#REF!</v>
      </c>
      <c r="DP14" t="e">
        <f>AND(#REF!,"AAAAAH7AnXc=")</f>
        <v>#REF!</v>
      </c>
      <c r="DQ14" t="e">
        <f>AND(#REF!,"AAAAAH7AnXg=")</f>
        <v>#REF!</v>
      </c>
      <c r="DR14" t="e">
        <f>AND(#REF!,"AAAAAH7AnXk=")</f>
        <v>#REF!</v>
      </c>
      <c r="DS14" t="e">
        <f>IF(#REF!,"AAAAAH7AnXo=",0)</f>
        <v>#REF!</v>
      </c>
      <c r="DT14" t="e">
        <f>AND(#REF!,"AAAAAH7AnXs=")</f>
        <v>#REF!</v>
      </c>
      <c r="DU14" t="e">
        <f>AND(#REF!,"AAAAAH7AnXw=")</f>
        <v>#REF!</v>
      </c>
      <c r="DV14" t="e">
        <f>AND(#REF!,"AAAAAH7AnX0=")</f>
        <v>#REF!</v>
      </c>
      <c r="DW14" t="e">
        <f>AND(#REF!,"AAAAAH7AnX4=")</f>
        <v>#REF!</v>
      </c>
      <c r="DX14" t="e">
        <f>AND(#REF!,"AAAAAH7AnX8=")</f>
        <v>#REF!</v>
      </c>
      <c r="DY14" t="e">
        <f>AND(#REF!,"AAAAAH7AnYA=")</f>
        <v>#REF!</v>
      </c>
      <c r="DZ14" t="e">
        <f>AND(#REF!,"AAAAAH7AnYE=")</f>
        <v>#REF!</v>
      </c>
      <c r="EA14" t="e">
        <f>AND(#REF!,"AAAAAH7AnYI=")</f>
        <v>#REF!</v>
      </c>
      <c r="EB14" t="e">
        <f>IF(#REF!,"AAAAAH7AnYM=",0)</f>
        <v>#REF!</v>
      </c>
      <c r="EC14" t="e">
        <f>AND(#REF!,"AAAAAH7AnYQ=")</f>
        <v>#REF!</v>
      </c>
      <c r="ED14" t="e">
        <f>AND(#REF!,"AAAAAH7AnYU=")</f>
        <v>#REF!</v>
      </c>
      <c r="EE14" t="e">
        <f>AND(#REF!,"AAAAAH7AnYY=")</f>
        <v>#REF!</v>
      </c>
      <c r="EF14" t="e">
        <f>AND(#REF!,"AAAAAH7AnYc=")</f>
        <v>#REF!</v>
      </c>
      <c r="EG14" t="e">
        <f>AND(#REF!,"AAAAAH7AnYg=")</f>
        <v>#REF!</v>
      </c>
      <c r="EH14" t="e">
        <f>AND(#REF!,"AAAAAH7AnYk=")</f>
        <v>#REF!</v>
      </c>
      <c r="EI14" t="e">
        <f>AND(#REF!,"AAAAAH7AnYo=")</f>
        <v>#REF!</v>
      </c>
      <c r="EJ14" t="e">
        <f>AND(#REF!,"AAAAAH7AnYs=")</f>
        <v>#REF!</v>
      </c>
      <c r="EK14" t="e">
        <f>IF(#REF!,"AAAAAH7AnYw=",0)</f>
        <v>#REF!</v>
      </c>
      <c r="EL14" t="e">
        <f>AND(#REF!,"AAAAAH7AnY0=")</f>
        <v>#REF!</v>
      </c>
      <c r="EM14" t="e">
        <f>AND(#REF!,"AAAAAH7AnY4=")</f>
        <v>#REF!</v>
      </c>
      <c r="EN14" t="e">
        <f>AND(#REF!,"AAAAAH7AnY8=")</f>
        <v>#REF!</v>
      </c>
      <c r="EO14" t="e">
        <f>AND(#REF!,"AAAAAH7AnZA=")</f>
        <v>#REF!</v>
      </c>
      <c r="EP14" t="e">
        <f>AND(#REF!,"AAAAAH7AnZE=")</f>
        <v>#REF!</v>
      </c>
      <c r="EQ14" t="e">
        <f>AND(#REF!,"AAAAAH7AnZI=")</f>
        <v>#REF!</v>
      </c>
      <c r="ER14" t="e">
        <f>AND(#REF!,"AAAAAH7AnZM=")</f>
        <v>#REF!</v>
      </c>
      <c r="ES14" t="e">
        <f>AND(#REF!,"AAAAAH7AnZQ=")</f>
        <v>#REF!</v>
      </c>
      <c r="ET14" t="e">
        <f>IF(#REF!,"AAAAAH7AnZU=",0)</f>
        <v>#REF!</v>
      </c>
      <c r="EU14" t="e">
        <f>AND(#REF!,"AAAAAH7AnZY=")</f>
        <v>#REF!</v>
      </c>
      <c r="EV14" t="e">
        <f>AND(#REF!,"AAAAAH7AnZc=")</f>
        <v>#REF!</v>
      </c>
      <c r="EW14" t="e">
        <f>AND(#REF!,"AAAAAH7AnZg=")</f>
        <v>#REF!</v>
      </c>
      <c r="EX14" t="e">
        <f>AND(#REF!,"AAAAAH7AnZk=")</f>
        <v>#REF!</v>
      </c>
      <c r="EY14" t="e">
        <f>AND(#REF!,"AAAAAH7AnZo=")</f>
        <v>#REF!</v>
      </c>
      <c r="EZ14" t="e">
        <f>AND(#REF!,"AAAAAH7AnZs=")</f>
        <v>#REF!</v>
      </c>
      <c r="FA14" t="e">
        <f>AND(#REF!,"AAAAAH7AnZw=")</f>
        <v>#REF!</v>
      </c>
      <c r="FB14" t="e">
        <f>AND(#REF!,"AAAAAH7AnZ0=")</f>
        <v>#REF!</v>
      </c>
      <c r="FC14" t="e">
        <f>IF(#REF!,"AAAAAH7AnZ4=",0)</f>
        <v>#REF!</v>
      </c>
      <c r="FD14" t="e">
        <f>AND(#REF!,"AAAAAH7AnZ8=")</f>
        <v>#REF!</v>
      </c>
      <c r="FE14" t="e">
        <f>AND(#REF!,"AAAAAH7AnaA=")</f>
        <v>#REF!</v>
      </c>
      <c r="FF14" t="e">
        <f>AND(#REF!,"AAAAAH7AnaE=")</f>
        <v>#REF!</v>
      </c>
      <c r="FG14" t="e">
        <f>AND(#REF!,"AAAAAH7AnaI=")</f>
        <v>#REF!</v>
      </c>
      <c r="FH14" t="e">
        <f>AND(#REF!,"AAAAAH7AnaM=")</f>
        <v>#REF!</v>
      </c>
      <c r="FI14" t="e">
        <f>AND(#REF!,"AAAAAH7AnaQ=")</f>
        <v>#REF!</v>
      </c>
      <c r="FJ14" t="e">
        <f>AND(#REF!,"AAAAAH7AnaU=")</f>
        <v>#REF!</v>
      </c>
      <c r="FK14" t="e">
        <f>AND(#REF!,"AAAAAH7AnaY=")</f>
        <v>#REF!</v>
      </c>
      <c r="FL14" t="e">
        <f>IF(#REF!,"AAAAAH7Anac=",0)</f>
        <v>#REF!</v>
      </c>
      <c r="FM14" t="e">
        <f>AND(#REF!,"AAAAAH7Anag=")</f>
        <v>#REF!</v>
      </c>
      <c r="FN14" t="e">
        <f>AND(#REF!,"AAAAAH7Anak=")</f>
        <v>#REF!</v>
      </c>
      <c r="FO14" t="e">
        <f>AND(#REF!,"AAAAAH7Anao=")</f>
        <v>#REF!</v>
      </c>
      <c r="FP14" t="e">
        <f>AND(#REF!,"AAAAAH7Anas=")</f>
        <v>#REF!</v>
      </c>
      <c r="FQ14" t="e">
        <f>AND(#REF!,"AAAAAH7Anaw=")</f>
        <v>#REF!</v>
      </c>
      <c r="FR14" t="e">
        <f>AND(#REF!,"AAAAAH7Ana0=")</f>
        <v>#REF!</v>
      </c>
      <c r="FS14" t="e">
        <f>AND(#REF!,"AAAAAH7Ana4=")</f>
        <v>#REF!</v>
      </c>
      <c r="FT14" t="e">
        <f>AND(#REF!,"AAAAAH7Ana8=")</f>
        <v>#REF!</v>
      </c>
      <c r="FU14" t="e">
        <f>IF(#REF!,"AAAAAH7AnbA=",0)</f>
        <v>#REF!</v>
      </c>
      <c r="FV14" t="e">
        <f>IF(#REF!,"AAAAAH7AnbE=",0)</f>
        <v>#REF!</v>
      </c>
      <c r="FW14" t="e">
        <f>IF(#REF!,"AAAAAH7AnbI=",0)</f>
        <v>#REF!</v>
      </c>
      <c r="FX14" t="e">
        <f>IF(#REF!,"AAAAAH7AnbM=",0)</f>
        <v>#REF!</v>
      </c>
      <c r="FY14" t="e">
        <f>IF(#REF!,"AAAAAH7AnbQ=",0)</f>
        <v>#REF!</v>
      </c>
      <c r="FZ14" t="e">
        <f>IF(#REF!,"AAAAAH7AnbU=",0)</f>
        <v>#REF!</v>
      </c>
      <c r="GA14" t="e">
        <f>IF(#REF!,"AAAAAH7AnbY=",0)</f>
        <v>#REF!</v>
      </c>
      <c r="GB14" t="e">
        <f>IF(#REF!,"AAAAAH7Anbc=",0)</f>
        <v>#REF!</v>
      </c>
      <c r="GC14" t="e">
        <f>IF(#REF!,"AAAAAH7Anbg=",0)</f>
        <v>#REF!</v>
      </c>
      <c r="GD14" t="e">
        <f>IF(#REF!,"AAAAAH7Anbk=",0)</f>
        <v>#REF!</v>
      </c>
      <c r="GE14" t="e">
        <f>IF(#REF!,"AAAAAH7Anbo=",0)</f>
        <v>#REF!</v>
      </c>
      <c r="GF14" t="e">
        <f>AND(#REF!,"AAAAAH7Anbs=")</f>
        <v>#REF!</v>
      </c>
      <c r="GG14" t="e">
        <f>AND(#REF!,"AAAAAH7Anbw=")</f>
        <v>#REF!</v>
      </c>
      <c r="GH14" t="e">
        <f>AND(#REF!,"AAAAAH7Anb0=")</f>
        <v>#REF!</v>
      </c>
      <c r="GI14" t="e">
        <f>AND(#REF!,"AAAAAH7Anb4=")</f>
        <v>#REF!</v>
      </c>
      <c r="GJ14" t="e">
        <f>AND(#REF!,"AAAAAH7Anb8=")</f>
        <v>#REF!</v>
      </c>
      <c r="GK14" t="e">
        <f>AND(#REF!,"AAAAAH7AncA=")</f>
        <v>#REF!</v>
      </c>
      <c r="GL14" t="e">
        <f>AND(#REF!,"AAAAAH7AncE=")</f>
        <v>#REF!</v>
      </c>
      <c r="GM14" t="e">
        <f>AND(#REF!,"AAAAAH7AncI=")</f>
        <v>#REF!</v>
      </c>
      <c r="GN14" t="e">
        <f>IF(#REF!,"AAAAAH7AncM=",0)</f>
        <v>#REF!</v>
      </c>
      <c r="GO14" t="e">
        <f>AND(#REF!,"AAAAAH7AncQ=")</f>
        <v>#REF!</v>
      </c>
      <c r="GP14" t="e">
        <f>AND(#REF!,"AAAAAH7AncU=")</f>
        <v>#REF!</v>
      </c>
      <c r="GQ14" t="e">
        <f>AND(#REF!,"AAAAAH7AncY=")</f>
        <v>#REF!</v>
      </c>
      <c r="GR14" t="e">
        <f>AND(#REF!,"AAAAAH7Ancc=")</f>
        <v>#REF!</v>
      </c>
      <c r="GS14" t="e">
        <f>AND(#REF!,"AAAAAH7Ancg=")</f>
        <v>#REF!</v>
      </c>
      <c r="GT14" t="e">
        <f>AND(#REF!,"AAAAAH7Anck=")</f>
        <v>#REF!</v>
      </c>
      <c r="GU14" t="e">
        <f>AND(#REF!,"AAAAAH7Anco=")</f>
        <v>#REF!</v>
      </c>
      <c r="GV14" t="e">
        <f>AND(#REF!,"AAAAAH7Ancs=")</f>
        <v>#REF!</v>
      </c>
      <c r="GW14" t="e">
        <f>IF(#REF!,"AAAAAH7Ancw=",0)</f>
        <v>#REF!</v>
      </c>
      <c r="GX14" t="e">
        <f>AND(#REF!,"AAAAAH7Anc0=")</f>
        <v>#REF!</v>
      </c>
      <c r="GY14" t="e">
        <f>AND(#REF!,"AAAAAH7Anc4=")</f>
        <v>#REF!</v>
      </c>
      <c r="GZ14" t="e">
        <f>AND(#REF!,"AAAAAH7Anc8=")</f>
        <v>#REF!</v>
      </c>
      <c r="HA14" t="e">
        <f>AND(#REF!,"AAAAAH7AndA=")</f>
        <v>#REF!</v>
      </c>
      <c r="HB14" t="e">
        <f>AND(#REF!,"AAAAAH7AndE=")</f>
        <v>#REF!</v>
      </c>
      <c r="HC14" t="e">
        <f>AND(#REF!,"AAAAAH7AndI=")</f>
        <v>#REF!</v>
      </c>
      <c r="HD14" t="e">
        <f>AND(#REF!,"AAAAAH7AndM=")</f>
        <v>#REF!</v>
      </c>
      <c r="HE14" t="e">
        <f>AND(#REF!,"AAAAAH7AndQ=")</f>
        <v>#REF!</v>
      </c>
      <c r="HF14" t="e">
        <f>IF(#REF!,"AAAAAH7AndU=",0)</f>
        <v>#REF!</v>
      </c>
      <c r="HG14" t="e">
        <f>AND(#REF!,"AAAAAH7AndY=")</f>
        <v>#REF!</v>
      </c>
      <c r="HH14" t="e">
        <f>AND(#REF!,"AAAAAH7Andc=")</f>
        <v>#REF!</v>
      </c>
      <c r="HI14" t="e">
        <f>AND(#REF!,"AAAAAH7Andg=")</f>
        <v>#REF!</v>
      </c>
      <c r="HJ14" t="e">
        <f>AND(#REF!,"AAAAAH7Andk=")</f>
        <v>#REF!</v>
      </c>
      <c r="HK14" t="e">
        <f>AND(#REF!,"AAAAAH7Ando=")</f>
        <v>#REF!</v>
      </c>
      <c r="HL14" t="e">
        <f>AND(#REF!,"AAAAAH7Ands=")</f>
        <v>#REF!</v>
      </c>
      <c r="HM14" t="e">
        <f>AND(#REF!,"AAAAAH7Andw=")</f>
        <v>#REF!</v>
      </c>
      <c r="HN14" t="e">
        <f>AND(#REF!,"AAAAAH7And0=")</f>
        <v>#REF!</v>
      </c>
      <c r="HO14" t="e">
        <f>IF(#REF!,"AAAAAH7And4=",0)</f>
        <v>#REF!</v>
      </c>
      <c r="HP14" t="e">
        <f>AND(#REF!,"AAAAAH7And8=")</f>
        <v>#REF!</v>
      </c>
      <c r="HQ14" t="e">
        <f>AND(#REF!,"AAAAAH7AneA=")</f>
        <v>#REF!</v>
      </c>
      <c r="HR14" t="e">
        <f>AND(#REF!,"AAAAAH7AneE=")</f>
        <v>#REF!</v>
      </c>
      <c r="HS14" t="e">
        <f>AND(#REF!,"AAAAAH7AneI=")</f>
        <v>#REF!</v>
      </c>
      <c r="HT14" t="e">
        <f>AND(#REF!,"AAAAAH7AneM=")</f>
        <v>#REF!</v>
      </c>
      <c r="HU14" t="e">
        <f>AND(#REF!,"AAAAAH7AneQ=")</f>
        <v>#REF!</v>
      </c>
      <c r="HV14" t="e">
        <f>AND(#REF!,"AAAAAH7AneU=")</f>
        <v>#REF!</v>
      </c>
      <c r="HW14" t="e">
        <f>AND(#REF!,"AAAAAH7AneY=")</f>
        <v>#REF!</v>
      </c>
      <c r="HX14" t="e">
        <f>IF(#REF!,"AAAAAH7Anec=",0)</f>
        <v>#REF!</v>
      </c>
      <c r="HY14" t="e">
        <f>AND(#REF!,"AAAAAH7Aneg=")</f>
        <v>#REF!</v>
      </c>
      <c r="HZ14" t="e">
        <f>AND(#REF!,"AAAAAH7Anek=")</f>
        <v>#REF!</v>
      </c>
      <c r="IA14" t="e">
        <f>AND(#REF!,"AAAAAH7Aneo=")</f>
        <v>#REF!</v>
      </c>
      <c r="IB14" t="e">
        <f>AND(#REF!,"AAAAAH7Anes=")</f>
        <v>#REF!</v>
      </c>
      <c r="IC14" t="e">
        <f>AND(#REF!,"AAAAAH7Anew=")</f>
        <v>#REF!</v>
      </c>
      <c r="ID14" t="e">
        <f>AND(#REF!,"AAAAAH7Ane0=")</f>
        <v>#REF!</v>
      </c>
      <c r="IE14" t="e">
        <f>AND(#REF!,"AAAAAH7Ane4=")</f>
        <v>#REF!</v>
      </c>
      <c r="IF14" t="e">
        <f>AND(#REF!,"AAAAAH7Ane8=")</f>
        <v>#REF!</v>
      </c>
      <c r="IG14" t="e">
        <f>IF(#REF!,"AAAAAH7AnfA=",0)</f>
        <v>#REF!</v>
      </c>
      <c r="IH14" t="e">
        <f>AND(#REF!,"AAAAAH7AnfE=")</f>
        <v>#REF!</v>
      </c>
      <c r="II14" t="e">
        <f>AND(#REF!,"AAAAAH7AnfI=")</f>
        <v>#REF!</v>
      </c>
      <c r="IJ14" t="e">
        <f>AND(#REF!,"AAAAAH7AnfM=")</f>
        <v>#REF!</v>
      </c>
      <c r="IK14" t="e">
        <f>AND(#REF!,"AAAAAH7AnfQ=")</f>
        <v>#REF!</v>
      </c>
      <c r="IL14" t="e">
        <f>AND(#REF!,"AAAAAH7AnfU=")</f>
        <v>#REF!</v>
      </c>
      <c r="IM14" t="e">
        <f>AND(#REF!,"AAAAAH7AnfY=")</f>
        <v>#REF!</v>
      </c>
      <c r="IN14" t="e">
        <f>AND(#REF!,"AAAAAH7Anfc=")</f>
        <v>#REF!</v>
      </c>
      <c r="IO14" t="e">
        <f>AND(#REF!,"AAAAAH7Anfg=")</f>
        <v>#REF!</v>
      </c>
      <c r="IP14" t="e">
        <f>IF(#REF!,"AAAAAH7Anfk=",0)</f>
        <v>#REF!</v>
      </c>
      <c r="IQ14" t="e">
        <f>AND(#REF!,"AAAAAH7Anfo=")</f>
        <v>#REF!</v>
      </c>
      <c r="IR14" t="e">
        <f>AND(#REF!,"AAAAAH7Anfs=")</f>
        <v>#REF!</v>
      </c>
      <c r="IS14" t="e">
        <f>AND(#REF!,"AAAAAH7Anfw=")</f>
        <v>#REF!</v>
      </c>
      <c r="IT14" t="e">
        <f>AND(#REF!,"AAAAAH7Anf0=")</f>
        <v>#REF!</v>
      </c>
      <c r="IU14" t="e">
        <f>AND(#REF!,"AAAAAH7Anf4=")</f>
        <v>#REF!</v>
      </c>
      <c r="IV14" t="e">
        <f>AND(#REF!,"AAAAAH7Anf8=")</f>
        <v>#REF!</v>
      </c>
    </row>
    <row r="15" spans="1:256" ht="15">
      <c r="A15" t="e">
        <f>AND(#REF!,"AAAAAH6+2wA=")</f>
        <v>#REF!</v>
      </c>
      <c r="B15" t="e">
        <f>AND(#REF!,"AAAAAH6+2wE=")</f>
        <v>#REF!</v>
      </c>
      <c r="C15" t="e">
        <f>IF(#REF!,"AAAAAH6+2wI=",0)</f>
        <v>#REF!</v>
      </c>
      <c r="D15" t="e">
        <f>AND(#REF!,"AAAAAH6+2wM=")</f>
        <v>#REF!</v>
      </c>
      <c r="E15" t="e">
        <f>AND(#REF!,"AAAAAH6+2wQ=")</f>
        <v>#REF!</v>
      </c>
      <c r="F15" t="e">
        <f>AND(#REF!,"AAAAAH6+2wU=")</f>
        <v>#REF!</v>
      </c>
      <c r="G15" t="e">
        <f>AND(#REF!,"AAAAAH6+2wY=")</f>
        <v>#REF!</v>
      </c>
      <c r="H15" t="e">
        <f>AND(#REF!,"AAAAAH6+2wc=")</f>
        <v>#REF!</v>
      </c>
      <c r="I15" t="e">
        <f>AND(#REF!,"AAAAAH6+2wg=")</f>
        <v>#REF!</v>
      </c>
      <c r="J15" t="e">
        <f>AND(#REF!,"AAAAAH6+2wk=")</f>
        <v>#REF!</v>
      </c>
      <c r="K15" t="e">
        <f>AND(#REF!,"AAAAAH6+2wo=")</f>
        <v>#REF!</v>
      </c>
      <c r="L15" t="e">
        <f>IF(#REF!,"AAAAAH6+2ws=",0)</f>
        <v>#REF!</v>
      </c>
      <c r="M15" t="e">
        <f>AND(#REF!,"AAAAAH6+2ww=")</f>
        <v>#REF!</v>
      </c>
      <c r="N15" t="e">
        <f>AND(#REF!,"AAAAAH6+2w0=")</f>
        <v>#REF!</v>
      </c>
      <c r="O15" t="e">
        <f>AND(#REF!,"AAAAAH6+2w4=")</f>
        <v>#REF!</v>
      </c>
      <c r="P15" t="e">
        <f>AND(#REF!,"AAAAAH6+2w8=")</f>
        <v>#REF!</v>
      </c>
      <c r="Q15" t="e">
        <f>AND(#REF!,"AAAAAH6+2xA=")</f>
        <v>#REF!</v>
      </c>
      <c r="R15" t="e">
        <f>AND(#REF!,"AAAAAH6+2xE=")</f>
        <v>#REF!</v>
      </c>
      <c r="S15" t="e">
        <f>AND(#REF!,"AAAAAH6+2xI=")</f>
        <v>#REF!</v>
      </c>
      <c r="T15" t="e">
        <f>AND(#REF!,"AAAAAH6+2xM=")</f>
        <v>#REF!</v>
      </c>
      <c r="U15" t="e">
        <f>IF(#REF!,"AAAAAH6+2xQ=",0)</f>
        <v>#REF!</v>
      </c>
      <c r="V15" t="e">
        <f>AND(#REF!,"AAAAAH6+2xU=")</f>
        <v>#REF!</v>
      </c>
      <c r="W15" t="e">
        <f>AND(#REF!,"AAAAAH6+2xY=")</f>
        <v>#REF!</v>
      </c>
      <c r="X15" t="e">
        <f>AND(#REF!,"AAAAAH6+2xc=")</f>
        <v>#REF!</v>
      </c>
      <c r="Y15" t="e">
        <f>AND(#REF!,"AAAAAH6+2xg=")</f>
        <v>#REF!</v>
      </c>
      <c r="Z15" t="e">
        <f>AND(#REF!,"AAAAAH6+2xk=")</f>
        <v>#REF!</v>
      </c>
      <c r="AA15" t="e">
        <f>AND(#REF!,"AAAAAH6+2xo=")</f>
        <v>#REF!</v>
      </c>
      <c r="AB15" t="e">
        <f>AND(#REF!,"AAAAAH6+2xs=")</f>
        <v>#REF!</v>
      </c>
      <c r="AC15" t="e">
        <f>AND(#REF!,"AAAAAH6+2xw=")</f>
        <v>#REF!</v>
      </c>
      <c r="AD15" t="e">
        <f>IF(#REF!,"AAAAAH6+2x0=",0)</f>
        <v>#REF!</v>
      </c>
      <c r="AE15" t="e">
        <f>AND(#REF!,"AAAAAH6+2x4=")</f>
        <v>#REF!</v>
      </c>
      <c r="AF15" t="e">
        <f>AND(#REF!,"AAAAAH6+2x8=")</f>
        <v>#REF!</v>
      </c>
      <c r="AG15" t="e">
        <f>AND(#REF!,"AAAAAH6+2yA=")</f>
        <v>#REF!</v>
      </c>
      <c r="AH15" t="e">
        <f>AND(#REF!,"AAAAAH6+2yE=")</f>
        <v>#REF!</v>
      </c>
      <c r="AI15" t="e">
        <f>AND(#REF!,"AAAAAH6+2yI=")</f>
        <v>#REF!</v>
      </c>
      <c r="AJ15" t="e">
        <f>AND(#REF!,"AAAAAH6+2yM=")</f>
        <v>#REF!</v>
      </c>
      <c r="AK15" t="e">
        <f>AND(#REF!,"AAAAAH6+2yQ=")</f>
        <v>#REF!</v>
      </c>
      <c r="AL15" t="e">
        <f>AND(#REF!,"AAAAAH6+2yU=")</f>
        <v>#REF!</v>
      </c>
      <c r="AM15" t="e">
        <f>IF(#REF!,"AAAAAH6+2yY=",0)</f>
        <v>#REF!</v>
      </c>
      <c r="AN15" t="e">
        <f>AND(#REF!,"AAAAAH6+2yc=")</f>
        <v>#REF!</v>
      </c>
      <c r="AO15" t="e">
        <f>AND(#REF!,"AAAAAH6+2yg=")</f>
        <v>#REF!</v>
      </c>
      <c r="AP15" t="e">
        <f>AND(#REF!,"AAAAAH6+2yk=")</f>
        <v>#REF!</v>
      </c>
      <c r="AQ15" t="e">
        <f>AND(#REF!,"AAAAAH6+2yo=")</f>
        <v>#REF!</v>
      </c>
      <c r="AR15" t="e">
        <f>AND(#REF!,"AAAAAH6+2ys=")</f>
        <v>#REF!</v>
      </c>
      <c r="AS15" t="e">
        <f>IF(#REF!,"AAAAAH6+2yw=",0)</f>
        <v>#REF!</v>
      </c>
      <c r="AT15" t="e">
        <f>AND(#REF!,"AAAAAH6+2y0=")</f>
        <v>#REF!</v>
      </c>
      <c r="AU15" t="e">
        <f>AND(#REF!,"AAAAAH6+2y4=")</f>
        <v>#REF!</v>
      </c>
      <c r="AV15" t="e">
        <f>AND(#REF!,"AAAAAH6+2y8=")</f>
        <v>#REF!</v>
      </c>
      <c r="AW15" t="e">
        <f>AND(#REF!,"AAAAAH6+2zA=")</f>
        <v>#REF!</v>
      </c>
      <c r="AX15" t="e">
        <f>AND(#REF!,"AAAAAH6+2zE=")</f>
        <v>#REF!</v>
      </c>
      <c r="AY15" t="e">
        <f>IF(#REF!,"AAAAAH6+2zI=",0)</f>
        <v>#REF!</v>
      </c>
      <c r="AZ15" t="e">
        <f>AND(#REF!,"AAAAAH6+2zM=")</f>
        <v>#REF!</v>
      </c>
      <c r="BA15" t="e">
        <f>AND(#REF!,"AAAAAH6+2zQ=")</f>
        <v>#REF!</v>
      </c>
      <c r="BB15" t="e">
        <f>AND(#REF!,"AAAAAH6+2zU=")</f>
        <v>#REF!</v>
      </c>
      <c r="BC15" t="e">
        <f>AND(#REF!,"AAAAAH6+2zY=")</f>
        <v>#REF!</v>
      </c>
      <c r="BD15" t="e">
        <f>AND(#REF!,"AAAAAH6+2zc=")</f>
        <v>#REF!</v>
      </c>
      <c r="BE15" t="e">
        <f>IF(#REF!,"AAAAAH6+2zg=",0)</f>
        <v>#REF!</v>
      </c>
      <c r="BF15" t="e">
        <f>AND(#REF!,"AAAAAH6+2zk=")</f>
        <v>#REF!</v>
      </c>
      <c r="BG15" t="e">
        <f>AND(#REF!,"AAAAAH6+2zo=")</f>
        <v>#REF!</v>
      </c>
      <c r="BH15" t="e">
        <f>AND(#REF!,"AAAAAH6+2zs=")</f>
        <v>#REF!</v>
      </c>
      <c r="BI15" t="e">
        <f>AND(#REF!,"AAAAAH6+2zw=")</f>
        <v>#REF!</v>
      </c>
      <c r="BJ15" t="e">
        <f>AND(#REF!,"AAAAAH6+2z0=")</f>
        <v>#REF!</v>
      </c>
      <c r="BK15" t="e">
        <f>IF(#REF!,"AAAAAH6+2z4=",0)</f>
        <v>#REF!</v>
      </c>
      <c r="BL15" t="e">
        <f>AND(#REF!,"AAAAAH6+2z8=")</f>
        <v>#REF!</v>
      </c>
      <c r="BM15" t="e">
        <f>AND(#REF!,"AAAAAH6+20A=")</f>
        <v>#REF!</v>
      </c>
      <c r="BN15" t="e">
        <f>AND(#REF!,"AAAAAH6+20E=")</f>
        <v>#REF!</v>
      </c>
      <c r="BO15" t="e">
        <f>AND(#REF!,"AAAAAH6+20I=")</f>
        <v>#REF!</v>
      </c>
      <c r="BP15" t="e">
        <f>AND(#REF!,"AAAAAH6+20M=")</f>
        <v>#REF!</v>
      </c>
      <c r="BQ15" t="e">
        <f>IF(#REF!,"AAAAAH6+20Q=",0)</f>
        <v>#REF!</v>
      </c>
      <c r="BR15" t="e">
        <f>AND(#REF!,"AAAAAH6+20U=")</f>
        <v>#REF!</v>
      </c>
      <c r="BS15" t="e">
        <f>AND(#REF!,"AAAAAH6+20Y=")</f>
        <v>#REF!</v>
      </c>
      <c r="BT15" t="e">
        <f>AND(#REF!,"AAAAAH6+20c=")</f>
        <v>#REF!</v>
      </c>
      <c r="BU15" t="e">
        <f>AND(#REF!,"AAAAAH6+20g=")</f>
        <v>#REF!</v>
      </c>
      <c r="BV15" t="e">
        <f>AND(#REF!,"AAAAAH6+20k=")</f>
        <v>#REF!</v>
      </c>
      <c r="BW15" t="e">
        <f>IF(#REF!,"AAAAAH6+20o=",0)</f>
        <v>#REF!</v>
      </c>
      <c r="BX15" t="e">
        <f>AND(#REF!,"AAAAAH6+20s=")</f>
        <v>#REF!</v>
      </c>
      <c r="BY15" t="e">
        <f>AND(#REF!,"AAAAAH6+20w=")</f>
        <v>#REF!</v>
      </c>
      <c r="BZ15" t="e">
        <f>AND(#REF!,"AAAAAH6+200=")</f>
        <v>#REF!</v>
      </c>
      <c r="CA15" t="e">
        <f>AND(#REF!,"AAAAAH6+204=")</f>
        <v>#REF!</v>
      </c>
      <c r="CB15" t="e">
        <f>AND(#REF!,"AAAAAH6+208=")</f>
        <v>#REF!</v>
      </c>
      <c r="CC15" t="e">
        <f>IF(#REF!,"AAAAAH6+21A=",0)</f>
        <v>#REF!</v>
      </c>
      <c r="CD15" t="e">
        <f>AND(#REF!,"AAAAAH6+21E=")</f>
        <v>#REF!</v>
      </c>
      <c r="CE15" t="e">
        <f>AND(#REF!,"AAAAAH6+21I=")</f>
        <v>#REF!</v>
      </c>
      <c r="CF15" t="e">
        <f>AND(#REF!,"AAAAAH6+21M=")</f>
        <v>#REF!</v>
      </c>
      <c r="CG15" t="e">
        <f>AND(#REF!,"AAAAAH6+21Q=")</f>
        <v>#REF!</v>
      </c>
      <c r="CH15" t="e">
        <f>AND(#REF!,"AAAAAH6+21U=")</f>
        <v>#REF!</v>
      </c>
      <c r="CI15" t="e">
        <f>IF(#REF!,"AAAAAH6+21Y=",0)</f>
        <v>#REF!</v>
      </c>
      <c r="CJ15" t="e">
        <f>AND(#REF!,"AAAAAH6+21c=")</f>
        <v>#REF!</v>
      </c>
      <c r="CK15" t="e">
        <f>AND(#REF!,"AAAAAH6+21g=")</f>
        <v>#REF!</v>
      </c>
      <c r="CL15" t="e">
        <f>AND(#REF!,"AAAAAH6+21k=")</f>
        <v>#REF!</v>
      </c>
      <c r="CM15" t="e">
        <f>AND(#REF!,"AAAAAH6+21o=")</f>
        <v>#REF!</v>
      </c>
      <c r="CN15" t="e">
        <f>AND(#REF!,"AAAAAH6+21s=")</f>
        <v>#REF!</v>
      </c>
      <c r="CO15" t="e">
        <f>IF(#REF!,"AAAAAH6+21w=",0)</f>
        <v>#REF!</v>
      </c>
      <c r="CP15" t="e">
        <f>AND(#REF!,"AAAAAH6+210=")</f>
        <v>#REF!</v>
      </c>
      <c r="CQ15" t="e">
        <f>AND(#REF!,"AAAAAH6+214=")</f>
        <v>#REF!</v>
      </c>
      <c r="CR15" t="e">
        <f>AND(#REF!,"AAAAAH6+218=")</f>
        <v>#REF!</v>
      </c>
      <c r="CS15" t="e">
        <f>AND(#REF!,"AAAAAH6+22A=")</f>
        <v>#REF!</v>
      </c>
      <c r="CT15" t="e">
        <f>AND(#REF!,"AAAAAH6+22E=")</f>
        <v>#REF!</v>
      </c>
      <c r="CU15" t="e">
        <f>IF(#REF!,"AAAAAH6+22I=",0)</f>
        <v>#REF!</v>
      </c>
      <c r="CV15" t="e">
        <f>AND(#REF!,"AAAAAH6+22M=")</f>
        <v>#REF!</v>
      </c>
      <c r="CW15" t="e">
        <f>AND(#REF!,"AAAAAH6+22Q=")</f>
        <v>#REF!</v>
      </c>
      <c r="CX15" t="e">
        <f>AND(#REF!,"AAAAAH6+22U=")</f>
        <v>#REF!</v>
      </c>
      <c r="CY15" t="e">
        <f>AND(#REF!,"AAAAAH6+22Y=")</f>
        <v>#REF!</v>
      </c>
      <c r="CZ15" t="e">
        <f>AND(#REF!,"AAAAAH6+22c=")</f>
        <v>#REF!</v>
      </c>
      <c r="DA15" t="e">
        <f>IF(#REF!,"AAAAAH6+22g=",0)</f>
        <v>#REF!</v>
      </c>
      <c r="DB15" t="e">
        <f>AND(#REF!,"AAAAAH6+22k=")</f>
        <v>#REF!</v>
      </c>
      <c r="DC15" t="e">
        <f>AND(#REF!,"AAAAAH6+22o=")</f>
        <v>#REF!</v>
      </c>
      <c r="DD15" t="e">
        <f>AND(#REF!,"AAAAAH6+22s=")</f>
        <v>#REF!</v>
      </c>
      <c r="DE15" t="e">
        <f>AND(#REF!,"AAAAAH6+22w=")</f>
        <v>#REF!</v>
      </c>
      <c r="DF15" t="e">
        <f>AND(#REF!,"AAAAAH6+220=")</f>
        <v>#REF!</v>
      </c>
      <c r="DG15" t="e">
        <f>IF(#REF!,"AAAAAH6+224=",0)</f>
        <v>#REF!</v>
      </c>
      <c r="DH15" t="e">
        <f>AND(#REF!,"AAAAAH6+228=")</f>
        <v>#REF!</v>
      </c>
      <c r="DI15" t="e">
        <f>AND(#REF!,"AAAAAH6+23A=")</f>
        <v>#REF!</v>
      </c>
      <c r="DJ15" t="e">
        <f>AND(#REF!,"AAAAAH6+23E=")</f>
        <v>#REF!</v>
      </c>
      <c r="DK15" t="e">
        <f>AND(#REF!,"AAAAAH6+23I=")</f>
        <v>#REF!</v>
      </c>
      <c r="DL15" t="e">
        <f>AND(#REF!,"AAAAAH6+23M=")</f>
        <v>#REF!</v>
      </c>
      <c r="DM15" t="e">
        <f>IF(#REF!,"AAAAAH6+23Q=",0)</f>
        <v>#REF!</v>
      </c>
      <c r="DN15" t="e">
        <f>AND(#REF!,"AAAAAH6+23U=")</f>
        <v>#REF!</v>
      </c>
      <c r="DO15" t="e">
        <f>AND(#REF!,"AAAAAH6+23Y=")</f>
        <v>#REF!</v>
      </c>
      <c r="DP15" t="e">
        <f>AND(#REF!,"AAAAAH6+23c=")</f>
        <v>#REF!</v>
      </c>
      <c r="DQ15" t="e">
        <f>AND(#REF!,"AAAAAH6+23g=")</f>
        <v>#REF!</v>
      </c>
      <c r="DR15" t="e">
        <f>AND(#REF!,"AAAAAH6+23k=")</f>
        <v>#REF!</v>
      </c>
      <c r="DS15" t="e">
        <f>IF(#REF!,"AAAAAH6+23o=",0)</f>
        <v>#REF!</v>
      </c>
      <c r="DT15" t="e">
        <f>AND(#REF!,"AAAAAH6+23s=")</f>
        <v>#REF!</v>
      </c>
      <c r="DU15" t="e">
        <f>AND(#REF!,"AAAAAH6+23w=")</f>
        <v>#REF!</v>
      </c>
      <c r="DV15" t="e">
        <f>AND(#REF!,"AAAAAH6+230=")</f>
        <v>#REF!</v>
      </c>
      <c r="DW15" t="e">
        <f>AND(#REF!,"AAAAAH6+234=")</f>
        <v>#REF!</v>
      </c>
      <c r="DX15" t="e">
        <f>AND(#REF!,"AAAAAH6+238=")</f>
        <v>#REF!</v>
      </c>
      <c r="DY15" t="e">
        <f>IF(#REF!,"AAAAAH6+24A=",0)</f>
        <v>#REF!</v>
      </c>
      <c r="DZ15" t="e">
        <f>IF(#REF!,"AAAAAH6+24E=",0)</f>
        <v>#REF!</v>
      </c>
      <c r="EA15" t="e">
        <f>IF(#REF!,"AAAAAH6+24I=",0)</f>
        <v>#REF!</v>
      </c>
      <c r="EB15" t="e">
        <f>IF(#REF!,"AAAAAH6+24M=",0)</f>
        <v>#REF!</v>
      </c>
      <c r="EC15" t="e">
        <f>IF(#REF!,"AAAAAH6+24Q=",0)</f>
        <v>#REF!</v>
      </c>
      <c r="ED15" t="e">
        <f>IF(#REF!,"AAAAAH6+24U=",0)</f>
        <v>#REF!</v>
      </c>
      <c r="EE15" t="e">
        <f>IF(#REF!,"AAAAAH6+24Y=",0)</f>
        <v>#REF!</v>
      </c>
      <c r="EF15" t="e">
        <f>IF(#REF!,"AAAAAH6+24c=",0)</f>
        <v>#REF!</v>
      </c>
      <c r="EG15" t="e">
        <f>IF(#REF!,"AAAAAH6+24g=",0)</f>
        <v>#REF!</v>
      </c>
      <c r="EH15" t="e">
        <f>IF(#REF!,"AAAAAH6+24k=",0)</f>
        <v>#REF!</v>
      </c>
      <c r="EI15" t="e">
        <f>AND(#REF!,"AAAAAH6+24o=")</f>
        <v>#REF!</v>
      </c>
      <c r="EJ15" t="e">
        <f>AND(#REF!,"AAAAAH6+24s=")</f>
        <v>#REF!</v>
      </c>
      <c r="EK15" t="e">
        <f>AND(#REF!,"AAAAAH6+24w=")</f>
        <v>#REF!</v>
      </c>
      <c r="EL15" t="e">
        <f>AND(#REF!,"AAAAAH6+240=")</f>
        <v>#REF!</v>
      </c>
      <c r="EM15" t="e">
        <f>AND(#REF!,"AAAAAH6+244=")</f>
        <v>#REF!</v>
      </c>
      <c r="EN15" t="e">
        <f>AND(#REF!,"AAAAAH6+248=")</f>
        <v>#REF!</v>
      </c>
      <c r="EO15" t="e">
        <f>AND(#REF!,"AAAAAH6+25A=")</f>
        <v>#REF!</v>
      </c>
      <c r="EP15" t="e">
        <f>AND(#REF!,"AAAAAH6+25E=")</f>
        <v>#REF!</v>
      </c>
      <c r="EQ15" t="e">
        <f>IF(#REF!,"AAAAAH6+25I=",0)</f>
        <v>#REF!</v>
      </c>
      <c r="ER15" t="e">
        <f>AND(#REF!,"AAAAAH6+25M=")</f>
        <v>#REF!</v>
      </c>
      <c r="ES15" t="e">
        <f>AND(#REF!,"AAAAAH6+25Q=")</f>
        <v>#REF!</v>
      </c>
      <c r="ET15" t="e">
        <f>AND(#REF!,"AAAAAH6+25U=")</f>
        <v>#REF!</v>
      </c>
      <c r="EU15" t="e">
        <f>AND(#REF!,"AAAAAH6+25Y=")</f>
        <v>#REF!</v>
      </c>
      <c r="EV15" t="e">
        <f>AND(#REF!,"AAAAAH6+25c=")</f>
        <v>#REF!</v>
      </c>
      <c r="EW15" t="e">
        <f>AND(#REF!,"AAAAAH6+25g=")</f>
        <v>#REF!</v>
      </c>
      <c r="EX15" t="e">
        <f>AND(#REF!,"AAAAAH6+25k=")</f>
        <v>#REF!</v>
      </c>
      <c r="EY15" t="e">
        <f>AND(#REF!,"AAAAAH6+25o=")</f>
        <v>#REF!</v>
      </c>
      <c r="EZ15" t="e">
        <f>IF(#REF!,"AAAAAH6+25s=",0)</f>
        <v>#REF!</v>
      </c>
      <c r="FA15" t="e">
        <f>AND(#REF!,"AAAAAH6+25w=")</f>
        <v>#REF!</v>
      </c>
      <c r="FB15" t="e">
        <f>AND(#REF!,"AAAAAH6+250=")</f>
        <v>#REF!</v>
      </c>
      <c r="FC15" t="e">
        <f>AND(#REF!,"AAAAAH6+254=")</f>
        <v>#REF!</v>
      </c>
      <c r="FD15" t="e">
        <f>AND(#REF!,"AAAAAH6+258=")</f>
        <v>#REF!</v>
      </c>
      <c r="FE15" t="e">
        <f>AND(#REF!,"AAAAAH6+26A=")</f>
        <v>#REF!</v>
      </c>
      <c r="FF15" t="e">
        <f>AND(#REF!,"AAAAAH6+26E=")</f>
        <v>#REF!</v>
      </c>
      <c r="FG15" t="e">
        <f>AND(#REF!,"AAAAAH6+26I=")</f>
        <v>#REF!</v>
      </c>
      <c r="FH15" t="e">
        <f>AND(#REF!,"AAAAAH6+26M=")</f>
        <v>#REF!</v>
      </c>
      <c r="FI15" t="e">
        <f>IF(#REF!,"AAAAAH6+26Q=",0)</f>
        <v>#REF!</v>
      </c>
      <c r="FJ15" t="e">
        <f>AND(#REF!,"AAAAAH6+26U=")</f>
        <v>#REF!</v>
      </c>
      <c r="FK15" t="e">
        <f>AND(#REF!,"AAAAAH6+26Y=")</f>
        <v>#REF!</v>
      </c>
      <c r="FL15" t="e">
        <f>AND(#REF!,"AAAAAH6+26c=")</f>
        <v>#REF!</v>
      </c>
      <c r="FM15" t="e">
        <f>AND(#REF!,"AAAAAH6+26g=")</f>
        <v>#REF!</v>
      </c>
      <c r="FN15" t="e">
        <f>AND(#REF!,"AAAAAH6+26k=")</f>
        <v>#REF!</v>
      </c>
      <c r="FO15" t="e">
        <f>AND(#REF!,"AAAAAH6+26o=")</f>
        <v>#REF!</v>
      </c>
      <c r="FP15" t="e">
        <f>AND(#REF!,"AAAAAH6+26s=")</f>
        <v>#REF!</v>
      </c>
      <c r="FQ15" t="e">
        <f>AND(#REF!,"AAAAAH6+26w=")</f>
        <v>#REF!</v>
      </c>
      <c r="FR15" t="e">
        <f>IF(#REF!,"AAAAAH6+260=",0)</f>
        <v>#REF!</v>
      </c>
      <c r="FS15" t="e">
        <f>AND(#REF!,"AAAAAH6+264=")</f>
        <v>#REF!</v>
      </c>
      <c r="FT15" t="e">
        <f>AND(#REF!,"AAAAAH6+268=")</f>
        <v>#REF!</v>
      </c>
      <c r="FU15" t="e">
        <f>AND(#REF!,"AAAAAH6+27A=")</f>
        <v>#REF!</v>
      </c>
      <c r="FV15" t="e">
        <f>AND(#REF!,"AAAAAH6+27E=")</f>
        <v>#REF!</v>
      </c>
      <c r="FW15" t="e">
        <f>AND(#REF!,"AAAAAH6+27I=")</f>
        <v>#REF!</v>
      </c>
      <c r="FX15" t="e">
        <f>AND(#REF!,"AAAAAH6+27M=")</f>
        <v>#REF!</v>
      </c>
      <c r="FY15" t="e">
        <f>AND(#REF!,"AAAAAH6+27Q=")</f>
        <v>#REF!</v>
      </c>
      <c r="FZ15" t="e">
        <f>AND(#REF!,"AAAAAH6+27U=")</f>
        <v>#REF!</v>
      </c>
      <c r="GA15" t="e">
        <f>IF(#REF!,"AAAAAH6+27Y=",0)</f>
        <v>#REF!</v>
      </c>
      <c r="GB15" t="e">
        <f>AND(#REF!,"AAAAAH6+27c=")</f>
        <v>#REF!</v>
      </c>
      <c r="GC15" t="e">
        <f>AND(#REF!,"AAAAAH6+27g=")</f>
        <v>#REF!</v>
      </c>
      <c r="GD15" t="e">
        <f>AND(#REF!,"AAAAAH6+27k=")</f>
        <v>#REF!</v>
      </c>
      <c r="GE15" t="e">
        <f>AND(#REF!,"AAAAAH6+27o=")</f>
        <v>#REF!</v>
      </c>
      <c r="GF15" t="e">
        <f>AND(#REF!,"AAAAAH6+27s=")</f>
        <v>#REF!</v>
      </c>
      <c r="GG15" t="e">
        <f>AND(#REF!,"AAAAAH6+27w=")</f>
        <v>#REF!</v>
      </c>
      <c r="GH15" t="e">
        <f>AND(#REF!,"AAAAAH6+270=")</f>
        <v>#REF!</v>
      </c>
      <c r="GI15" t="e">
        <f>AND(#REF!,"AAAAAH6+274=")</f>
        <v>#REF!</v>
      </c>
      <c r="GJ15" t="e">
        <f>IF(#REF!,"AAAAAH6+278=",0)</f>
        <v>#REF!</v>
      </c>
      <c r="GK15" t="e">
        <f>AND(#REF!,"AAAAAH6+28A=")</f>
        <v>#REF!</v>
      </c>
      <c r="GL15" t="e">
        <f>AND(#REF!,"AAAAAH6+28E=")</f>
        <v>#REF!</v>
      </c>
      <c r="GM15" t="e">
        <f>AND(#REF!,"AAAAAH6+28I=")</f>
        <v>#REF!</v>
      </c>
      <c r="GN15" t="e">
        <f>AND(#REF!,"AAAAAH6+28M=")</f>
        <v>#REF!</v>
      </c>
      <c r="GO15" t="e">
        <f>AND(#REF!,"AAAAAH6+28Q=")</f>
        <v>#REF!</v>
      </c>
      <c r="GP15" t="e">
        <f>AND(#REF!,"AAAAAH6+28U=")</f>
        <v>#REF!</v>
      </c>
      <c r="GQ15" t="e">
        <f>AND(#REF!,"AAAAAH6+28Y=")</f>
        <v>#REF!</v>
      </c>
      <c r="GR15" t="e">
        <f>AND(#REF!,"AAAAAH6+28c=")</f>
        <v>#REF!</v>
      </c>
      <c r="GS15" t="e">
        <f>IF(#REF!,"AAAAAH6+28g=",0)</f>
        <v>#REF!</v>
      </c>
      <c r="GT15" t="e">
        <f>AND(#REF!,"AAAAAH6+28k=")</f>
        <v>#REF!</v>
      </c>
      <c r="GU15" t="e">
        <f>AND(#REF!,"AAAAAH6+28o=")</f>
        <v>#REF!</v>
      </c>
      <c r="GV15" t="e">
        <f>AND(#REF!,"AAAAAH6+28s=")</f>
        <v>#REF!</v>
      </c>
      <c r="GW15" t="e">
        <f>AND(#REF!,"AAAAAH6+28w=")</f>
        <v>#REF!</v>
      </c>
      <c r="GX15" t="e">
        <f>AND(#REF!,"AAAAAH6+280=")</f>
        <v>#REF!</v>
      </c>
      <c r="GY15" t="e">
        <f>AND(#REF!,"AAAAAH6+284=")</f>
        <v>#REF!</v>
      </c>
      <c r="GZ15" t="e">
        <f>AND(#REF!,"AAAAAH6+288=")</f>
        <v>#REF!</v>
      </c>
      <c r="HA15" t="e">
        <f>AND(#REF!,"AAAAAH6+29A=")</f>
        <v>#REF!</v>
      </c>
      <c r="HB15" t="e">
        <f>IF(#REF!,"AAAAAH6+29E=",0)</f>
        <v>#REF!</v>
      </c>
      <c r="HC15" t="e">
        <f>AND(#REF!,"AAAAAH6+29I=")</f>
        <v>#REF!</v>
      </c>
      <c r="HD15" t="e">
        <f>AND(#REF!,"AAAAAH6+29M=")</f>
        <v>#REF!</v>
      </c>
      <c r="HE15" t="e">
        <f>AND(#REF!,"AAAAAH6+29Q=")</f>
        <v>#REF!</v>
      </c>
      <c r="HF15" t="e">
        <f>AND(#REF!,"AAAAAH6+29U=")</f>
        <v>#REF!</v>
      </c>
      <c r="HG15" t="e">
        <f>AND(#REF!,"AAAAAH6+29Y=")</f>
        <v>#REF!</v>
      </c>
      <c r="HH15" t="e">
        <f>AND(#REF!,"AAAAAH6+29c=")</f>
        <v>#REF!</v>
      </c>
      <c r="HI15" t="e">
        <f>AND(#REF!,"AAAAAH6+29g=")</f>
        <v>#REF!</v>
      </c>
      <c r="HJ15" t="e">
        <f>AND(#REF!,"AAAAAH6+29k=")</f>
        <v>#REF!</v>
      </c>
      <c r="HK15" t="e">
        <f>IF(#REF!,"AAAAAH6+29o=",0)</f>
        <v>#REF!</v>
      </c>
      <c r="HL15" t="e">
        <f>AND(#REF!,"AAAAAH6+29s=")</f>
        <v>#REF!</v>
      </c>
      <c r="HM15" t="e">
        <f>AND(#REF!,"AAAAAH6+29w=")</f>
        <v>#REF!</v>
      </c>
      <c r="HN15" t="e">
        <f>AND(#REF!,"AAAAAH6+290=")</f>
        <v>#REF!</v>
      </c>
      <c r="HO15" t="e">
        <f>AND(#REF!,"AAAAAH6+294=")</f>
        <v>#REF!</v>
      </c>
      <c r="HP15" t="e">
        <f>AND(#REF!,"AAAAAH6+298=")</f>
        <v>#REF!</v>
      </c>
      <c r="HQ15" t="e">
        <f>AND(#REF!,"AAAAAH6+2+A=")</f>
        <v>#REF!</v>
      </c>
      <c r="HR15" t="e">
        <f>AND(#REF!,"AAAAAH6+2+E=")</f>
        <v>#REF!</v>
      </c>
      <c r="HS15" t="e">
        <f>AND(#REF!,"AAAAAH6+2+I=")</f>
        <v>#REF!</v>
      </c>
      <c r="HT15" t="e">
        <f>IF(#REF!,"AAAAAH6+2+M=",0)</f>
        <v>#REF!</v>
      </c>
      <c r="HU15" t="e">
        <f>AND(#REF!,"AAAAAH6+2+Q=")</f>
        <v>#REF!</v>
      </c>
      <c r="HV15" t="e">
        <f>AND(#REF!,"AAAAAH6+2+U=")</f>
        <v>#REF!</v>
      </c>
      <c r="HW15" t="e">
        <f>AND(#REF!,"AAAAAH6+2+Y=")</f>
        <v>#REF!</v>
      </c>
      <c r="HX15" t="e">
        <f>AND(#REF!,"AAAAAH6+2+c=")</f>
        <v>#REF!</v>
      </c>
      <c r="HY15" t="e">
        <f>AND(#REF!,"AAAAAH6+2+g=")</f>
        <v>#REF!</v>
      </c>
      <c r="HZ15" t="e">
        <f>AND(#REF!,"AAAAAH6+2+k=")</f>
        <v>#REF!</v>
      </c>
      <c r="IA15" t="e">
        <f>AND(#REF!,"AAAAAH6+2+o=")</f>
        <v>#REF!</v>
      </c>
      <c r="IB15" t="e">
        <f>AND(#REF!,"AAAAAH6+2+s=")</f>
        <v>#REF!</v>
      </c>
      <c r="IC15" t="e">
        <f>IF(#REF!,"AAAAAH6+2+w=",0)</f>
        <v>#REF!</v>
      </c>
      <c r="ID15" t="e">
        <f>AND(#REF!,"AAAAAH6+2+0=")</f>
        <v>#REF!</v>
      </c>
      <c r="IE15" t="e">
        <f>AND(#REF!,"AAAAAH6+2+4=")</f>
        <v>#REF!</v>
      </c>
      <c r="IF15" t="e">
        <f>AND(#REF!,"AAAAAH6+2+8=")</f>
        <v>#REF!</v>
      </c>
      <c r="IG15" t="e">
        <f>AND(#REF!,"AAAAAH6+2/A=")</f>
        <v>#REF!</v>
      </c>
      <c r="IH15" t="e">
        <f>AND(#REF!,"AAAAAH6+2/E=")</f>
        <v>#REF!</v>
      </c>
      <c r="II15" t="e">
        <f>AND(#REF!,"AAAAAH6+2/I=")</f>
        <v>#REF!</v>
      </c>
      <c r="IJ15" t="e">
        <f>AND(#REF!,"AAAAAH6+2/M=")</f>
        <v>#REF!</v>
      </c>
      <c r="IK15" t="e">
        <f>AND(#REF!,"AAAAAH6+2/Q=")</f>
        <v>#REF!</v>
      </c>
      <c r="IL15" t="e">
        <f>IF(#REF!,"AAAAAH6+2/U=",0)</f>
        <v>#REF!</v>
      </c>
      <c r="IM15" t="e">
        <f>IF(#REF!,"AAAAAH6+2/Y=",0)</f>
        <v>#REF!</v>
      </c>
      <c r="IN15" t="e">
        <f>IF(#REF!,"AAAAAH6+2/c=",0)</f>
        <v>#REF!</v>
      </c>
      <c r="IO15" t="e">
        <f>IF(#REF!,"AAAAAH6+2/g=",0)</f>
        <v>#REF!</v>
      </c>
      <c r="IP15" t="e">
        <f>IF(#REF!,"AAAAAH6+2/k=",0)</f>
        <v>#REF!</v>
      </c>
      <c r="IQ15" t="e">
        <f>IF(#REF!,"AAAAAH6+2/o=",0)</f>
        <v>#REF!</v>
      </c>
      <c r="IR15" t="e">
        <f>IF(#REF!,"AAAAAH6+2/s=",0)</f>
        <v>#REF!</v>
      </c>
      <c r="IS15" t="e">
        <f>IF(#REF!,"AAAAAH6+2/w=",0)</f>
        <v>#REF!</v>
      </c>
      <c r="IT15" t="e">
        <f>IF(#REF!,"AAAAAH6+2/0=",0)</f>
        <v>#REF!</v>
      </c>
      <c r="IU15" t="e">
        <f>IF(#REF!,"AAAAAH6+2/4=",0)</f>
        <v>#REF!</v>
      </c>
      <c r="IV15" t="e">
        <f>IF(#REF!,"AAAAAH6+2/8=",0)</f>
        <v>#REF!</v>
      </c>
    </row>
    <row r="16" spans="1:256" ht="15">
      <c r="A16" t="e">
        <f>IF(#REF!,"AAAAAGz/PgA=",0)</f>
        <v>#REF!</v>
      </c>
      <c r="B16" t="e">
        <f>IF(#REF!,"AAAAAGz/PgE=",0)</f>
        <v>#REF!</v>
      </c>
      <c r="C16" t="e">
        <f>AND(#REF!,"AAAAAGz/PgI=")</f>
        <v>#REF!</v>
      </c>
      <c r="D16" t="e">
        <f>AND(#REF!,"AAAAAGz/PgM=")</f>
        <v>#REF!</v>
      </c>
      <c r="E16" t="e">
        <f>AND(#REF!,"AAAAAGz/PgQ=")</f>
        <v>#REF!</v>
      </c>
      <c r="F16" t="e">
        <f>AND(#REF!,"AAAAAGz/PgU=")</f>
        <v>#REF!</v>
      </c>
      <c r="G16" t="e">
        <f>AND(#REF!,"AAAAAGz/PgY=")</f>
        <v>#REF!</v>
      </c>
      <c r="H16" t="e">
        <f>AND(#REF!,"AAAAAGz/Pgc=")</f>
        <v>#REF!</v>
      </c>
      <c r="I16" t="e">
        <f>AND(#REF!,"AAAAAGz/Pgg=")</f>
        <v>#REF!</v>
      </c>
      <c r="J16" t="e">
        <f>AND(#REF!,"AAAAAGz/Pgk=")</f>
        <v>#REF!</v>
      </c>
      <c r="K16" t="e">
        <f>IF(#REF!,"AAAAAGz/Pgo=",0)</f>
        <v>#REF!</v>
      </c>
      <c r="L16" t="e">
        <f>AND(#REF!,"AAAAAGz/Pgs=")</f>
        <v>#REF!</v>
      </c>
      <c r="M16" t="e">
        <f>AND(#REF!,"AAAAAGz/Pgw=")</f>
        <v>#REF!</v>
      </c>
      <c r="N16" t="e">
        <f>AND(#REF!,"AAAAAGz/Pg0=")</f>
        <v>#REF!</v>
      </c>
      <c r="O16" t="e">
        <f>AND(#REF!,"AAAAAGz/Pg4=")</f>
        <v>#REF!</v>
      </c>
      <c r="P16" t="e">
        <f>AND(#REF!,"AAAAAGz/Pg8=")</f>
        <v>#REF!</v>
      </c>
      <c r="Q16" t="e">
        <f>AND(#REF!,"AAAAAGz/PhA=")</f>
        <v>#REF!</v>
      </c>
      <c r="R16" t="e">
        <f>AND(#REF!,"AAAAAGz/PhE=")</f>
        <v>#REF!</v>
      </c>
      <c r="S16" t="e">
        <f>AND(#REF!,"AAAAAGz/PhI=")</f>
        <v>#REF!</v>
      </c>
      <c r="T16" t="e">
        <f>IF(#REF!,"AAAAAGz/PhM=",0)</f>
        <v>#REF!</v>
      </c>
      <c r="U16" t="e">
        <f>AND(#REF!,"AAAAAGz/PhQ=")</f>
        <v>#REF!</v>
      </c>
      <c r="V16" t="e">
        <f>AND(#REF!,"AAAAAGz/PhU=")</f>
        <v>#REF!</v>
      </c>
      <c r="W16" t="e">
        <f>AND(#REF!,"AAAAAGz/PhY=")</f>
        <v>#REF!</v>
      </c>
      <c r="X16" t="e">
        <f>AND(#REF!,"AAAAAGz/Phc=")</f>
        <v>#REF!</v>
      </c>
      <c r="Y16" t="e">
        <f>AND(#REF!,"AAAAAGz/Phg=")</f>
        <v>#REF!</v>
      </c>
      <c r="Z16" t="e">
        <f>AND(#REF!,"AAAAAGz/Phk=")</f>
        <v>#REF!</v>
      </c>
      <c r="AA16" t="e">
        <f>AND(#REF!,"AAAAAGz/Pho=")</f>
        <v>#REF!</v>
      </c>
      <c r="AB16" t="e">
        <f>AND(#REF!,"AAAAAGz/Phs=")</f>
        <v>#REF!</v>
      </c>
      <c r="AC16" t="e">
        <f>IF(#REF!,"AAAAAGz/Phw=",0)</f>
        <v>#REF!</v>
      </c>
      <c r="AD16" t="e">
        <f>AND(#REF!,"AAAAAGz/Ph0=")</f>
        <v>#REF!</v>
      </c>
      <c r="AE16" t="e">
        <f>AND(#REF!,"AAAAAGz/Ph4=")</f>
        <v>#REF!</v>
      </c>
      <c r="AF16" t="e">
        <f>AND(#REF!,"AAAAAGz/Ph8=")</f>
        <v>#REF!</v>
      </c>
      <c r="AG16" t="e">
        <f>AND(#REF!,"AAAAAGz/PiA=")</f>
        <v>#REF!</v>
      </c>
      <c r="AH16" t="e">
        <f>AND(#REF!,"AAAAAGz/PiE=")</f>
        <v>#REF!</v>
      </c>
      <c r="AI16" t="e">
        <f>AND(#REF!,"AAAAAGz/PiI=")</f>
        <v>#REF!</v>
      </c>
      <c r="AJ16" t="e">
        <f>AND(#REF!,"AAAAAGz/PiM=")</f>
        <v>#REF!</v>
      </c>
      <c r="AK16" t="e">
        <f>AND(#REF!,"AAAAAGz/PiQ=")</f>
        <v>#REF!</v>
      </c>
      <c r="AL16" t="e">
        <f>IF(#REF!,"AAAAAGz/PiU=",0)</f>
        <v>#REF!</v>
      </c>
      <c r="AM16" t="e">
        <f>AND(#REF!,"AAAAAGz/PiY=")</f>
        <v>#REF!</v>
      </c>
      <c r="AN16" t="e">
        <f>AND(#REF!,"AAAAAGz/Pic=")</f>
        <v>#REF!</v>
      </c>
      <c r="AO16" t="e">
        <f>AND(#REF!,"AAAAAGz/Pig=")</f>
        <v>#REF!</v>
      </c>
      <c r="AP16" t="e">
        <f>AND(#REF!,"AAAAAGz/Pik=")</f>
        <v>#REF!</v>
      </c>
      <c r="AQ16" t="e">
        <f>AND(#REF!,"AAAAAGz/Pio=")</f>
        <v>#REF!</v>
      </c>
      <c r="AR16" t="e">
        <f>AND(#REF!,"AAAAAGz/Pis=")</f>
        <v>#REF!</v>
      </c>
      <c r="AS16" t="e">
        <f>AND(#REF!,"AAAAAGz/Piw=")</f>
        <v>#REF!</v>
      </c>
      <c r="AT16" t="e">
        <f>AND(#REF!,"AAAAAGz/Pi0=")</f>
        <v>#REF!</v>
      </c>
      <c r="AU16" t="e">
        <f>IF(#REF!,"AAAAAGz/Pi4=",0)</f>
        <v>#REF!</v>
      </c>
      <c r="AV16" t="e">
        <f>AND(#REF!,"AAAAAGz/Pi8=")</f>
        <v>#REF!</v>
      </c>
      <c r="AW16" t="e">
        <f>AND(#REF!,"AAAAAGz/PjA=")</f>
        <v>#REF!</v>
      </c>
      <c r="AX16" t="e">
        <f>AND(#REF!,"AAAAAGz/PjE=")</f>
        <v>#REF!</v>
      </c>
      <c r="AY16" t="e">
        <f>AND(#REF!,"AAAAAGz/PjI=")</f>
        <v>#REF!</v>
      </c>
      <c r="AZ16" t="e">
        <f>AND(#REF!,"AAAAAGz/PjM=")</f>
        <v>#REF!</v>
      </c>
      <c r="BA16" t="e">
        <f>AND(#REF!,"AAAAAGz/PjQ=")</f>
        <v>#REF!</v>
      </c>
      <c r="BB16" t="e">
        <f>AND(#REF!,"AAAAAGz/PjU=")</f>
        <v>#REF!</v>
      </c>
      <c r="BC16" t="e">
        <f>AND(#REF!,"AAAAAGz/PjY=")</f>
        <v>#REF!</v>
      </c>
      <c r="BD16" t="e">
        <f>IF(#REF!,"AAAAAGz/Pjc=",0)</f>
        <v>#REF!</v>
      </c>
      <c r="BE16" t="e">
        <f>AND(#REF!,"AAAAAGz/Pjg=")</f>
        <v>#REF!</v>
      </c>
      <c r="BF16" t="e">
        <f>AND(#REF!,"AAAAAGz/Pjk=")</f>
        <v>#REF!</v>
      </c>
      <c r="BG16" t="e">
        <f>AND(#REF!,"AAAAAGz/Pjo=")</f>
        <v>#REF!</v>
      </c>
      <c r="BH16" t="e">
        <f>AND(#REF!,"AAAAAGz/Pjs=")</f>
        <v>#REF!</v>
      </c>
      <c r="BI16" t="e">
        <f>AND(#REF!,"AAAAAGz/Pjw=")</f>
        <v>#REF!</v>
      </c>
      <c r="BJ16" t="e">
        <f>AND(#REF!,"AAAAAGz/Pj0=")</f>
        <v>#REF!</v>
      </c>
      <c r="BK16" t="e">
        <f>AND(#REF!,"AAAAAGz/Pj4=")</f>
        <v>#REF!</v>
      </c>
      <c r="BL16" t="e">
        <f>AND(#REF!,"AAAAAGz/Pj8=")</f>
        <v>#REF!</v>
      </c>
      <c r="BM16" t="e">
        <f>IF(#REF!,"AAAAAGz/PkA=",0)</f>
        <v>#REF!</v>
      </c>
      <c r="BN16" t="e">
        <f>AND(#REF!,"AAAAAGz/PkE=")</f>
        <v>#REF!</v>
      </c>
      <c r="BO16" t="e">
        <f>AND(#REF!,"AAAAAGz/PkI=")</f>
        <v>#REF!</v>
      </c>
      <c r="BP16" t="e">
        <f>AND(#REF!,"AAAAAGz/PkM=")</f>
        <v>#REF!</v>
      </c>
      <c r="BQ16" t="e">
        <f>AND(#REF!,"AAAAAGz/PkQ=")</f>
        <v>#REF!</v>
      </c>
      <c r="BR16" t="e">
        <f>AND(#REF!,"AAAAAGz/PkU=")</f>
        <v>#REF!</v>
      </c>
      <c r="BS16" t="e">
        <f>AND(#REF!,"AAAAAGz/PkY=")</f>
        <v>#REF!</v>
      </c>
      <c r="BT16" t="e">
        <f>AND(#REF!,"AAAAAGz/Pkc=")</f>
        <v>#REF!</v>
      </c>
      <c r="BU16" t="e">
        <f>AND(#REF!,"AAAAAGz/Pkg=")</f>
        <v>#REF!</v>
      </c>
      <c r="BV16" t="e">
        <f>IF(#REF!,"AAAAAGz/Pkk=",0)</f>
        <v>#REF!</v>
      </c>
      <c r="BW16" t="e">
        <f>AND(#REF!,"AAAAAGz/Pko=")</f>
        <v>#REF!</v>
      </c>
      <c r="BX16" t="e">
        <f>AND(#REF!,"AAAAAGz/Pks=")</f>
        <v>#REF!</v>
      </c>
      <c r="BY16" t="e">
        <f>AND(#REF!,"AAAAAGz/Pkw=")</f>
        <v>#REF!</v>
      </c>
      <c r="BZ16" t="e">
        <f>AND(#REF!,"AAAAAGz/Pk0=")</f>
        <v>#REF!</v>
      </c>
      <c r="CA16" t="e">
        <f>AND(#REF!,"AAAAAGz/Pk4=")</f>
        <v>#REF!</v>
      </c>
      <c r="CB16" t="e">
        <f>AND(#REF!,"AAAAAGz/Pk8=")</f>
        <v>#REF!</v>
      </c>
      <c r="CC16" t="e">
        <f>AND(#REF!,"AAAAAGz/PlA=")</f>
        <v>#REF!</v>
      </c>
      <c r="CD16" t="e">
        <f>AND(#REF!,"AAAAAGz/PlE=")</f>
        <v>#REF!</v>
      </c>
      <c r="CE16" t="e">
        <f>IF(#REF!,"AAAAAGz/PlI=",0)</f>
        <v>#REF!</v>
      </c>
      <c r="CF16" t="e">
        <f>AND(#REF!,"AAAAAGz/PlM=")</f>
        <v>#REF!</v>
      </c>
      <c r="CG16" t="e">
        <f>AND(#REF!,"AAAAAGz/PlQ=")</f>
        <v>#REF!</v>
      </c>
      <c r="CH16" t="e">
        <f>AND(#REF!,"AAAAAGz/PlU=")</f>
        <v>#REF!</v>
      </c>
      <c r="CI16" t="e">
        <f>AND(#REF!,"AAAAAGz/PlY=")</f>
        <v>#REF!</v>
      </c>
      <c r="CJ16" t="e">
        <f>AND(#REF!,"AAAAAGz/Plc=")</f>
        <v>#REF!</v>
      </c>
      <c r="CK16" t="e">
        <f>AND(#REF!,"AAAAAGz/Plg=")</f>
        <v>#REF!</v>
      </c>
      <c r="CL16" t="e">
        <f>AND(#REF!,"AAAAAGz/Plk=")</f>
        <v>#REF!</v>
      </c>
      <c r="CM16" t="e">
        <f>AND(#REF!,"AAAAAGz/Plo=")</f>
        <v>#REF!</v>
      </c>
      <c r="CN16" t="e">
        <f>IF(#REF!,"AAAAAGz/Pls=",0)</f>
        <v>#REF!</v>
      </c>
      <c r="CO16" t="e">
        <f>AND(#REF!,"AAAAAGz/Plw=")</f>
        <v>#REF!</v>
      </c>
      <c r="CP16" t="e">
        <f>AND(#REF!,"AAAAAGz/Pl0=")</f>
        <v>#REF!</v>
      </c>
      <c r="CQ16" t="e">
        <f>AND(#REF!,"AAAAAGz/Pl4=")</f>
        <v>#REF!</v>
      </c>
      <c r="CR16" t="e">
        <f>AND(#REF!,"AAAAAGz/Pl8=")</f>
        <v>#REF!</v>
      </c>
      <c r="CS16" t="e">
        <f>AND(#REF!,"AAAAAGz/PmA=")</f>
        <v>#REF!</v>
      </c>
      <c r="CT16" t="e">
        <f>AND(#REF!,"AAAAAGz/PmE=")</f>
        <v>#REF!</v>
      </c>
      <c r="CU16" t="e">
        <f>AND(#REF!,"AAAAAGz/PmI=")</f>
        <v>#REF!</v>
      </c>
      <c r="CV16" t="e">
        <f>AND(#REF!,"AAAAAGz/PmM=")</f>
        <v>#REF!</v>
      </c>
      <c r="CW16" t="e">
        <f>IF(#REF!,"AAAAAGz/PmQ=",0)</f>
        <v>#REF!</v>
      </c>
      <c r="CX16" t="e">
        <f>AND(#REF!,"AAAAAGz/PmU=")</f>
        <v>#REF!</v>
      </c>
      <c r="CY16" t="e">
        <f>AND(#REF!,"AAAAAGz/PmY=")</f>
        <v>#REF!</v>
      </c>
      <c r="CZ16" t="e">
        <f>AND(#REF!,"AAAAAGz/Pmc=")</f>
        <v>#REF!</v>
      </c>
      <c r="DA16" t="e">
        <f>AND(#REF!,"AAAAAGz/Pmg=")</f>
        <v>#REF!</v>
      </c>
      <c r="DB16" t="e">
        <f>AND(#REF!,"AAAAAGz/Pmk=")</f>
        <v>#REF!</v>
      </c>
      <c r="DC16" t="e">
        <f>AND(#REF!,"AAAAAGz/Pmo=")</f>
        <v>#REF!</v>
      </c>
      <c r="DD16" t="e">
        <f>AND(#REF!,"AAAAAGz/Pms=")</f>
        <v>#REF!</v>
      </c>
      <c r="DE16" t="e">
        <f>AND(#REF!,"AAAAAGz/Pmw=")</f>
        <v>#REF!</v>
      </c>
      <c r="DF16" t="e">
        <f>IF(#REF!,"AAAAAGz/Pm0=",0)</f>
        <v>#REF!</v>
      </c>
      <c r="DG16" t="e">
        <f>AND(#REF!,"AAAAAGz/Pm4=")</f>
        <v>#REF!</v>
      </c>
      <c r="DH16" t="e">
        <f>AND(#REF!,"AAAAAGz/Pm8=")</f>
        <v>#REF!</v>
      </c>
      <c r="DI16" t="e">
        <f>AND(#REF!,"AAAAAGz/PnA=")</f>
        <v>#REF!</v>
      </c>
      <c r="DJ16" t="e">
        <f>AND(#REF!,"AAAAAGz/PnE=")</f>
        <v>#REF!</v>
      </c>
      <c r="DK16" t="e">
        <f>AND(#REF!,"AAAAAGz/PnI=")</f>
        <v>#REF!</v>
      </c>
      <c r="DL16" t="e">
        <f>IF(#REF!,"AAAAAGz/PnM=",0)</f>
        <v>#REF!</v>
      </c>
      <c r="DM16" t="e">
        <f>AND(#REF!,"AAAAAGz/PnQ=")</f>
        <v>#REF!</v>
      </c>
      <c r="DN16" t="e">
        <f>AND(#REF!,"AAAAAGz/PnU=")</f>
        <v>#REF!</v>
      </c>
      <c r="DO16" t="e">
        <f>AND(#REF!,"AAAAAGz/PnY=")</f>
        <v>#REF!</v>
      </c>
      <c r="DP16" t="e">
        <f>AND(#REF!,"AAAAAGz/Pnc=")</f>
        <v>#REF!</v>
      </c>
      <c r="DQ16" t="e">
        <f>AND(#REF!,"AAAAAGz/Png=")</f>
        <v>#REF!</v>
      </c>
      <c r="DR16" t="e">
        <f>IF(#REF!,"AAAAAGz/Pnk=",0)</f>
        <v>#REF!</v>
      </c>
      <c r="DS16" t="e">
        <f>AND(#REF!,"AAAAAGz/Pno=")</f>
        <v>#REF!</v>
      </c>
      <c r="DT16" t="e">
        <f>AND(#REF!,"AAAAAGz/Pns=")</f>
        <v>#REF!</v>
      </c>
      <c r="DU16" t="e">
        <f>AND(#REF!,"AAAAAGz/Pnw=")</f>
        <v>#REF!</v>
      </c>
      <c r="DV16" t="e">
        <f>AND(#REF!,"AAAAAGz/Pn0=")</f>
        <v>#REF!</v>
      </c>
      <c r="DW16" t="e">
        <f>AND(#REF!,"AAAAAGz/Pn4=")</f>
        <v>#REF!</v>
      </c>
      <c r="DX16" t="e">
        <f>IF(#REF!,"AAAAAGz/Pn8=",0)</f>
        <v>#REF!</v>
      </c>
      <c r="DY16" t="e">
        <f>AND(#REF!,"AAAAAGz/PoA=")</f>
        <v>#REF!</v>
      </c>
      <c r="DZ16" t="e">
        <f>AND(#REF!,"AAAAAGz/PoE=")</f>
        <v>#REF!</v>
      </c>
      <c r="EA16" t="e">
        <f>AND(#REF!,"AAAAAGz/PoI=")</f>
        <v>#REF!</v>
      </c>
      <c r="EB16" t="e">
        <f>AND(#REF!,"AAAAAGz/PoM=")</f>
        <v>#REF!</v>
      </c>
      <c r="EC16" t="e">
        <f>AND(#REF!,"AAAAAGz/PoQ=")</f>
        <v>#REF!</v>
      </c>
      <c r="ED16" t="e">
        <f>IF(#REF!,"AAAAAGz/PoU=",0)</f>
        <v>#REF!</v>
      </c>
      <c r="EE16" t="e">
        <f>AND(#REF!,"AAAAAGz/PoY=")</f>
        <v>#REF!</v>
      </c>
      <c r="EF16" t="e">
        <f>AND(#REF!,"AAAAAGz/Poc=")</f>
        <v>#REF!</v>
      </c>
      <c r="EG16" t="e">
        <f>AND(#REF!,"AAAAAGz/Pog=")</f>
        <v>#REF!</v>
      </c>
      <c r="EH16" t="e">
        <f>AND(#REF!,"AAAAAGz/Pok=")</f>
        <v>#REF!</v>
      </c>
      <c r="EI16" t="e">
        <f>AND(#REF!,"AAAAAGz/Poo=")</f>
        <v>#REF!</v>
      </c>
      <c r="EJ16" t="e">
        <f>IF(#REF!,"AAAAAGz/Pos=",0)</f>
        <v>#REF!</v>
      </c>
      <c r="EK16" t="e">
        <f>AND(#REF!,"AAAAAGz/Pow=")</f>
        <v>#REF!</v>
      </c>
      <c r="EL16" t="e">
        <f>AND(#REF!,"AAAAAGz/Po0=")</f>
        <v>#REF!</v>
      </c>
      <c r="EM16" t="e">
        <f>AND(#REF!,"AAAAAGz/Po4=")</f>
        <v>#REF!</v>
      </c>
      <c r="EN16" t="e">
        <f>AND(#REF!,"AAAAAGz/Po8=")</f>
        <v>#REF!</v>
      </c>
      <c r="EO16" t="e">
        <f>AND(#REF!,"AAAAAGz/PpA=")</f>
        <v>#REF!</v>
      </c>
      <c r="EP16" t="e">
        <f>IF(#REF!,"AAAAAGz/PpE=",0)</f>
        <v>#REF!</v>
      </c>
      <c r="EQ16" t="e">
        <f>AND(#REF!,"AAAAAGz/PpI=")</f>
        <v>#REF!</v>
      </c>
      <c r="ER16" t="e">
        <f>AND(#REF!,"AAAAAGz/PpM=")</f>
        <v>#REF!</v>
      </c>
      <c r="ES16" t="e">
        <f>AND(#REF!,"AAAAAGz/PpQ=")</f>
        <v>#REF!</v>
      </c>
      <c r="ET16" t="e">
        <f>AND(#REF!,"AAAAAGz/PpU=")</f>
        <v>#REF!</v>
      </c>
      <c r="EU16" t="e">
        <f>AND(#REF!,"AAAAAGz/PpY=")</f>
        <v>#REF!</v>
      </c>
      <c r="EV16" t="e">
        <f>IF(#REF!,"AAAAAGz/Ppc=",0)</f>
        <v>#REF!</v>
      </c>
      <c r="EW16" t="e">
        <f>AND(#REF!,"AAAAAGz/Ppg=")</f>
        <v>#REF!</v>
      </c>
      <c r="EX16" t="e">
        <f>AND(#REF!,"AAAAAGz/Ppk=")</f>
        <v>#REF!</v>
      </c>
      <c r="EY16" t="e">
        <f>AND(#REF!,"AAAAAGz/Ppo=")</f>
        <v>#REF!</v>
      </c>
      <c r="EZ16" t="e">
        <f>AND(#REF!,"AAAAAGz/Pps=")</f>
        <v>#REF!</v>
      </c>
      <c r="FA16" t="e">
        <f>AND(#REF!,"AAAAAGz/Ppw=")</f>
        <v>#REF!</v>
      </c>
      <c r="FB16" t="e">
        <f>IF(#REF!,"AAAAAGz/Pp0=",0)</f>
        <v>#REF!</v>
      </c>
      <c r="FC16" t="e">
        <f>AND(#REF!,"AAAAAGz/Pp4=")</f>
        <v>#REF!</v>
      </c>
      <c r="FD16" t="e">
        <f>AND(#REF!,"AAAAAGz/Pp8=")</f>
        <v>#REF!</v>
      </c>
      <c r="FE16" t="e">
        <f>AND(#REF!,"AAAAAGz/PqA=")</f>
        <v>#REF!</v>
      </c>
      <c r="FF16" t="e">
        <f>AND(#REF!,"AAAAAGz/PqE=")</f>
        <v>#REF!</v>
      </c>
      <c r="FG16" t="e">
        <f>AND(#REF!,"AAAAAGz/PqI=")</f>
        <v>#REF!</v>
      </c>
      <c r="FH16" t="e">
        <f>IF(#REF!,"AAAAAGz/PqM=",0)</f>
        <v>#REF!</v>
      </c>
      <c r="FI16" t="e">
        <f>AND(#REF!,"AAAAAGz/PqQ=")</f>
        <v>#REF!</v>
      </c>
      <c r="FJ16" t="e">
        <f>AND(#REF!,"AAAAAGz/PqU=")</f>
        <v>#REF!</v>
      </c>
      <c r="FK16" t="e">
        <f>AND(#REF!,"AAAAAGz/PqY=")</f>
        <v>#REF!</v>
      </c>
      <c r="FL16" t="e">
        <f>AND(#REF!,"AAAAAGz/Pqc=")</f>
        <v>#REF!</v>
      </c>
      <c r="FM16" t="e">
        <f>AND(#REF!,"AAAAAGz/Pqg=")</f>
        <v>#REF!</v>
      </c>
      <c r="FN16" t="e">
        <f>IF(#REF!,"AAAAAGz/Pqk=",0)</f>
        <v>#REF!</v>
      </c>
      <c r="FO16" t="e">
        <f>AND(#REF!,"AAAAAGz/Pqo=")</f>
        <v>#REF!</v>
      </c>
      <c r="FP16" t="e">
        <f>AND(#REF!,"AAAAAGz/Pqs=")</f>
        <v>#REF!</v>
      </c>
      <c r="FQ16" t="e">
        <f>AND(#REF!,"AAAAAGz/Pqw=")</f>
        <v>#REF!</v>
      </c>
      <c r="FR16" t="e">
        <f>AND(#REF!,"AAAAAGz/Pq0=")</f>
        <v>#REF!</v>
      </c>
      <c r="FS16" t="e">
        <f>AND(#REF!,"AAAAAGz/Pq4=")</f>
        <v>#REF!</v>
      </c>
      <c r="FT16" t="e">
        <f>IF(#REF!,"AAAAAGz/Pq8=",0)</f>
        <v>#REF!</v>
      </c>
      <c r="FU16" t="e">
        <f>AND(#REF!,"AAAAAGz/PrA=")</f>
        <v>#REF!</v>
      </c>
      <c r="FV16" t="e">
        <f>AND(#REF!,"AAAAAGz/PrE=")</f>
        <v>#REF!</v>
      </c>
      <c r="FW16" t="e">
        <f>AND(#REF!,"AAAAAGz/PrI=")</f>
        <v>#REF!</v>
      </c>
      <c r="FX16" t="e">
        <f>AND(#REF!,"AAAAAGz/PrM=")</f>
        <v>#REF!</v>
      </c>
      <c r="FY16" t="e">
        <f>AND(#REF!,"AAAAAGz/PrQ=")</f>
        <v>#REF!</v>
      </c>
      <c r="FZ16" t="e">
        <f>IF(#REF!,"AAAAAGz/PrU=",0)</f>
        <v>#REF!</v>
      </c>
      <c r="GA16" t="e">
        <f>AND(#REF!,"AAAAAGz/PrY=")</f>
        <v>#REF!</v>
      </c>
      <c r="GB16" t="e">
        <f>AND(#REF!,"AAAAAGz/Prc=")</f>
        <v>#REF!</v>
      </c>
      <c r="GC16" t="e">
        <f>AND(#REF!,"AAAAAGz/Prg=")</f>
        <v>#REF!</v>
      </c>
      <c r="GD16" t="e">
        <f>AND(#REF!,"AAAAAGz/Prk=")</f>
        <v>#REF!</v>
      </c>
      <c r="GE16" t="e">
        <f>AND(#REF!,"AAAAAGz/Pro=")</f>
        <v>#REF!</v>
      </c>
      <c r="GF16" t="e">
        <f>IF(#REF!,"AAAAAGz/Prs=",0)</f>
        <v>#REF!</v>
      </c>
      <c r="GG16" t="e">
        <f>AND(#REF!,"AAAAAGz/Prw=")</f>
        <v>#REF!</v>
      </c>
      <c r="GH16" t="e">
        <f>AND(#REF!,"AAAAAGz/Pr0=")</f>
        <v>#REF!</v>
      </c>
      <c r="GI16" t="e">
        <f>AND(#REF!,"AAAAAGz/Pr4=")</f>
        <v>#REF!</v>
      </c>
      <c r="GJ16" t="e">
        <f>AND(#REF!,"AAAAAGz/Pr8=")</f>
        <v>#REF!</v>
      </c>
      <c r="GK16" t="e">
        <f>AND(#REF!,"AAAAAGz/PsA=")</f>
        <v>#REF!</v>
      </c>
      <c r="GL16" t="e">
        <f>IF(#REF!,"AAAAAGz/PsE=",0)</f>
        <v>#REF!</v>
      </c>
      <c r="GM16" t="e">
        <f>AND(#REF!,"AAAAAGz/PsI=")</f>
        <v>#REF!</v>
      </c>
      <c r="GN16" t="e">
        <f>AND(#REF!,"AAAAAGz/PsM=")</f>
        <v>#REF!</v>
      </c>
      <c r="GO16" t="e">
        <f>AND(#REF!,"AAAAAGz/PsQ=")</f>
        <v>#REF!</v>
      </c>
      <c r="GP16" t="e">
        <f>AND(#REF!,"AAAAAGz/PsU=")</f>
        <v>#REF!</v>
      </c>
      <c r="GQ16" t="e">
        <f>AND(#REF!,"AAAAAGz/PsY=")</f>
        <v>#REF!</v>
      </c>
      <c r="GR16" t="e">
        <f>IF(#REF!,"AAAAAGz/Psc=",0)</f>
        <v>#REF!</v>
      </c>
      <c r="GS16" t="e">
        <f>IF(#REF!,"AAAAAGz/Psg=",0)</f>
        <v>#REF!</v>
      </c>
      <c r="GT16" t="e">
        <f>IF(#REF!,"AAAAAGz/Psk=",0)</f>
        <v>#REF!</v>
      </c>
      <c r="GU16" t="e">
        <f>IF(#REF!,"AAAAAGz/Pso=",0)</f>
        <v>#REF!</v>
      </c>
      <c r="GV16" t="e">
        <f>IF(#REF!,"AAAAAGz/Pss=",0)</f>
        <v>#REF!</v>
      </c>
      <c r="GW16" t="e">
        <f>IF(#REF!,"AAAAAGz/Psw=",0)</f>
        <v>#REF!</v>
      </c>
      <c r="GX16" t="e">
        <f>IF(#REF!,"AAAAAGz/Ps0=",0)</f>
        <v>#REF!</v>
      </c>
      <c r="GY16" t="e">
        <f>IF(#REF!,"AAAAAGz/Ps4=",0)</f>
        <v>#REF!</v>
      </c>
      <c r="GZ16" t="e">
        <f>IF(#REF!,"AAAAAGz/Ps8=",0)</f>
        <v>#REF!</v>
      </c>
      <c r="HA16" t="e">
        <f>IF(#REF!,"AAAAAGz/PtA=",0)</f>
        <v>#REF!</v>
      </c>
      <c r="HB16" t="e">
        <f>AND(#REF!,"AAAAAGz/PtE=")</f>
        <v>#REF!</v>
      </c>
      <c r="HC16" t="e">
        <f>AND(#REF!,"AAAAAGz/PtI=")</f>
        <v>#REF!</v>
      </c>
      <c r="HD16" t="e">
        <f>AND(#REF!,"AAAAAGz/PtM=")</f>
        <v>#REF!</v>
      </c>
      <c r="HE16" t="e">
        <f>AND(#REF!,"AAAAAGz/PtQ=")</f>
        <v>#REF!</v>
      </c>
      <c r="HF16" t="e">
        <f>AND(#REF!,"AAAAAGz/PtU=")</f>
        <v>#REF!</v>
      </c>
      <c r="HG16" t="e">
        <f>AND(#REF!,"AAAAAGz/PtY=")</f>
        <v>#REF!</v>
      </c>
      <c r="HH16" t="e">
        <f>AND(#REF!,"AAAAAGz/Ptc=")</f>
        <v>#REF!</v>
      </c>
      <c r="HI16" t="e">
        <f>AND(#REF!,"AAAAAGz/Ptg=")</f>
        <v>#REF!</v>
      </c>
      <c r="HJ16" t="e">
        <f>IF(#REF!,"AAAAAGz/Ptk=",0)</f>
        <v>#REF!</v>
      </c>
      <c r="HK16" t="e">
        <f>AND(#REF!,"AAAAAGz/Pto=")</f>
        <v>#REF!</v>
      </c>
      <c r="HL16" t="e">
        <f>AND(#REF!,"AAAAAGz/Pts=")</f>
        <v>#REF!</v>
      </c>
      <c r="HM16" t="e">
        <f>AND(#REF!,"AAAAAGz/Ptw=")</f>
        <v>#REF!</v>
      </c>
      <c r="HN16" t="e">
        <f>AND(#REF!,"AAAAAGz/Pt0=")</f>
        <v>#REF!</v>
      </c>
      <c r="HO16" t="e">
        <f>AND(#REF!,"AAAAAGz/Pt4=")</f>
        <v>#REF!</v>
      </c>
      <c r="HP16" t="e">
        <f>AND(#REF!,"AAAAAGz/Pt8=")</f>
        <v>#REF!</v>
      </c>
      <c r="HQ16" t="e">
        <f>AND(#REF!,"AAAAAGz/PuA=")</f>
        <v>#REF!</v>
      </c>
      <c r="HR16" t="e">
        <f>AND(#REF!,"AAAAAGz/PuE=")</f>
        <v>#REF!</v>
      </c>
      <c r="HS16" t="e">
        <f>IF(#REF!,"AAAAAGz/PuI=",0)</f>
        <v>#REF!</v>
      </c>
      <c r="HT16" t="e">
        <f>AND(#REF!,"AAAAAGz/PuM=")</f>
        <v>#REF!</v>
      </c>
      <c r="HU16" t="e">
        <f>AND(#REF!,"AAAAAGz/PuQ=")</f>
        <v>#REF!</v>
      </c>
      <c r="HV16" t="e">
        <f>AND(#REF!,"AAAAAGz/PuU=")</f>
        <v>#REF!</v>
      </c>
      <c r="HW16" t="e">
        <f>AND(#REF!,"AAAAAGz/PuY=")</f>
        <v>#REF!</v>
      </c>
      <c r="HX16" t="e">
        <f>AND(#REF!,"AAAAAGz/Puc=")</f>
        <v>#REF!</v>
      </c>
      <c r="HY16" t="e">
        <f>AND(#REF!,"AAAAAGz/Pug=")</f>
        <v>#REF!</v>
      </c>
      <c r="HZ16" t="e">
        <f>AND(#REF!,"AAAAAGz/Puk=")</f>
        <v>#REF!</v>
      </c>
      <c r="IA16" t="e">
        <f>AND(#REF!,"AAAAAGz/Puo=")</f>
        <v>#REF!</v>
      </c>
      <c r="IB16" t="e">
        <f>IF(#REF!,"AAAAAGz/Pus=",0)</f>
        <v>#REF!</v>
      </c>
      <c r="IC16" t="e">
        <f>AND(#REF!,"AAAAAGz/Puw=")</f>
        <v>#REF!</v>
      </c>
      <c r="ID16" t="e">
        <f>AND(#REF!,"AAAAAGz/Pu0=")</f>
        <v>#REF!</v>
      </c>
      <c r="IE16" t="e">
        <f>AND(#REF!,"AAAAAGz/Pu4=")</f>
        <v>#REF!</v>
      </c>
      <c r="IF16" t="e">
        <f>AND(#REF!,"AAAAAGz/Pu8=")</f>
        <v>#REF!</v>
      </c>
      <c r="IG16" t="e">
        <f>AND(#REF!,"AAAAAGz/PvA=")</f>
        <v>#REF!</v>
      </c>
      <c r="IH16" t="e">
        <f>AND(#REF!,"AAAAAGz/PvE=")</f>
        <v>#REF!</v>
      </c>
      <c r="II16" t="e">
        <f>AND(#REF!,"AAAAAGz/PvI=")</f>
        <v>#REF!</v>
      </c>
      <c r="IJ16" t="e">
        <f>AND(#REF!,"AAAAAGz/PvM=")</f>
        <v>#REF!</v>
      </c>
      <c r="IK16" t="e">
        <f>IF(#REF!,"AAAAAGz/PvQ=",0)</f>
        <v>#REF!</v>
      </c>
      <c r="IL16" t="e">
        <f>AND(#REF!,"AAAAAGz/PvU=")</f>
        <v>#REF!</v>
      </c>
      <c r="IM16" t="e">
        <f>AND(#REF!,"AAAAAGz/PvY=")</f>
        <v>#REF!</v>
      </c>
      <c r="IN16" t="e">
        <f>AND(#REF!,"AAAAAGz/Pvc=")</f>
        <v>#REF!</v>
      </c>
      <c r="IO16" t="e">
        <f>AND(#REF!,"AAAAAGz/Pvg=")</f>
        <v>#REF!</v>
      </c>
      <c r="IP16" t="e">
        <f>AND(#REF!,"AAAAAGz/Pvk=")</f>
        <v>#REF!</v>
      </c>
      <c r="IQ16" t="e">
        <f>AND(#REF!,"AAAAAGz/Pvo=")</f>
        <v>#REF!</v>
      </c>
      <c r="IR16" t="e">
        <f>AND(#REF!,"AAAAAGz/Pvs=")</f>
        <v>#REF!</v>
      </c>
      <c r="IS16" t="e">
        <f>AND(#REF!,"AAAAAGz/Pvw=")</f>
        <v>#REF!</v>
      </c>
      <c r="IT16" t="e">
        <f>IF(#REF!,"AAAAAGz/Pv0=",0)</f>
        <v>#REF!</v>
      </c>
      <c r="IU16" t="e">
        <f>AND(#REF!,"AAAAAGz/Pv4=")</f>
        <v>#REF!</v>
      </c>
      <c r="IV16" t="e">
        <f>AND(#REF!,"AAAAAGz/Pv8=")</f>
        <v>#REF!</v>
      </c>
    </row>
    <row r="17" spans="1:256" ht="15">
      <c r="A17" t="e">
        <f>AND(#REF!,"AAAAAHv/fgA=")</f>
        <v>#REF!</v>
      </c>
      <c r="B17" t="e">
        <f>AND(#REF!,"AAAAAHv/fgE=")</f>
        <v>#REF!</v>
      </c>
      <c r="C17" t="e">
        <f>AND(#REF!,"AAAAAHv/fgI=")</f>
        <v>#REF!</v>
      </c>
      <c r="D17" t="e">
        <f>AND(#REF!,"AAAAAHv/fgM=")</f>
        <v>#REF!</v>
      </c>
      <c r="E17" t="e">
        <f>AND(#REF!,"AAAAAHv/fgQ=")</f>
        <v>#REF!</v>
      </c>
      <c r="F17" t="e">
        <f>AND(#REF!,"AAAAAHv/fgU=")</f>
        <v>#REF!</v>
      </c>
      <c r="G17" t="e">
        <f>IF(#REF!,"AAAAAHv/fgY=",0)</f>
        <v>#REF!</v>
      </c>
      <c r="H17" t="e">
        <f>AND(#REF!,"AAAAAHv/fgc=")</f>
        <v>#REF!</v>
      </c>
      <c r="I17" t="e">
        <f>AND(#REF!,"AAAAAHv/fgg=")</f>
        <v>#REF!</v>
      </c>
      <c r="J17" t="e">
        <f>AND(#REF!,"AAAAAHv/fgk=")</f>
        <v>#REF!</v>
      </c>
      <c r="K17" t="e">
        <f>AND(#REF!,"AAAAAHv/fgo=")</f>
        <v>#REF!</v>
      </c>
      <c r="L17" t="e">
        <f>AND(#REF!,"AAAAAHv/fgs=")</f>
        <v>#REF!</v>
      </c>
      <c r="M17" t="e">
        <f>AND(#REF!,"AAAAAHv/fgw=")</f>
        <v>#REF!</v>
      </c>
      <c r="N17" t="e">
        <f>AND(#REF!,"AAAAAHv/fg0=")</f>
        <v>#REF!</v>
      </c>
      <c r="O17" t="e">
        <f>AND(#REF!,"AAAAAHv/fg4=")</f>
        <v>#REF!</v>
      </c>
      <c r="P17" t="e">
        <f>IF(#REF!,"AAAAAHv/fg8=",0)</f>
        <v>#REF!</v>
      </c>
      <c r="Q17" t="e">
        <f>AND(#REF!,"AAAAAHv/fhA=")</f>
        <v>#REF!</v>
      </c>
      <c r="R17" t="e">
        <f>AND(#REF!,"AAAAAHv/fhE=")</f>
        <v>#REF!</v>
      </c>
      <c r="S17" t="e">
        <f>AND(#REF!,"AAAAAHv/fhI=")</f>
        <v>#REF!</v>
      </c>
      <c r="T17" t="e">
        <f>AND(#REF!,"AAAAAHv/fhM=")</f>
        <v>#REF!</v>
      </c>
      <c r="U17" t="e">
        <f>AND(#REF!,"AAAAAHv/fhQ=")</f>
        <v>#REF!</v>
      </c>
      <c r="V17" t="e">
        <f>AND(#REF!,"AAAAAHv/fhU=")</f>
        <v>#REF!</v>
      </c>
      <c r="W17" t="e">
        <f>AND(#REF!,"AAAAAHv/fhY=")</f>
        <v>#REF!</v>
      </c>
      <c r="X17" t="e">
        <f>AND(#REF!,"AAAAAHv/fhc=")</f>
        <v>#REF!</v>
      </c>
      <c r="Y17" t="e">
        <f>IF(#REF!,"AAAAAHv/fhg=",0)</f>
        <v>#REF!</v>
      </c>
      <c r="Z17" t="e">
        <f>AND(#REF!,"AAAAAHv/fhk=")</f>
        <v>#REF!</v>
      </c>
      <c r="AA17" t="e">
        <f>AND(#REF!,"AAAAAHv/fho=")</f>
        <v>#REF!</v>
      </c>
      <c r="AB17" t="e">
        <f>AND(#REF!,"AAAAAHv/fhs=")</f>
        <v>#REF!</v>
      </c>
      <c r="AC17" t="e">
        <f>AND(#REF!,"AAAAAHv/fhw=")</f>
        <v>#REF!</v>
      </c>
      <c r="AD17" t="e">
        <f>AND(#REF!,"AAAAAHv/fh0=")</f>
        <v>#REF!</v>
      </c>
      <c r="AE17" t="e">
        <f>AND(#REF!,"AAAAAHv/fh4=")</f>
        <v>#REF!</v>
      </c>
      <c r="AF17" t="e">
        <f>AND(#REF!,"AAAAAHv/fh8=")</f>
        <v>#REF!</v>
      </c>
      <c r="AG17" t="e">
        <f>AND(#REF!,"AAAAAHv/fiA=")</f>
        <v>#REF!</v>
      </c>
      <c r="AH17" t="e">
        <f>IF(#REF!,"AAAAAHv/fiE=",0)</f>
        <v>#REF!</v>
      </c>
      <c r="AI17" t="e">
        <f>AND(#REF!,"AAAAAHv/fiI=")</f>
        <v>#REF!</v>
      </c>
      <c r="AJ17" t="e">
        <f>AND(#REF!,"AAAAAHv/fiM=")</f>
        <v>#REF!</v>
      </c>
      <c r="AK17" t="e">
        <f>AND(#REF!,"AAAAAHv/fiQ=")</f>
        <v>#REF!</v>
      </c>
      <c r="AL17" t="e">
        <f>AND(#REF!,"AAAAAHv/fiU=")</f>
        <v>#REF!</v>
      </c>
      <c r="AM17" t="e">
        <f>AND(#REF!,"AAAAAHv/fiY=")</f>
        <v>#REF!</v>
      </c>
      <c r="AN17" t="e">
        <f>AND(#REF!,"AAAAAHv/fic=")</f>
        <v>#REF!</v>
      </c>
      <c r="AO17" t="e">
        <f>AND(#REF!,"AAAAAHv/fig=")</f>
        <v>#REF!</v>
      </c>
      <c r="AP17" t="e">
        <f>AND(#REF!,"AAAAAHv/fik=")</f>
        <v>#REF!</v>
      </c>
      <c r="AQ17" t="e">
        <f>IF(#REF!,"AAAAAHv/fio=",0)</f>
        <v>#REF!</v>
      </c>
      <c r="AR17" t="e">
        <f>AND(#REF!,"AAAAAHv/fis=")</f>
        <v>#REF!</v>
      </c>
      <c r="AS17" t="e">
        <f>AND(#REF!,"AAAAAHv/fiw=")</f>
        <v>#REF!</v>
      </c>
      <c r="AT17" t="e">
        <f>AND(#REF!,"AAAAAHv/fi0=")</f>
        <v>#REF!</v>
      </c>
      <c r="AU17" t="e">
        <f>AND(#REF!,"AAAAAHv/fi4=")</f>
        <v>#REF!</v>
      </c>
      <c r="AV17" t="e">
        <f>AND(#REF!,"AAAAAHv/fi8=")</f>
        <v>#REF!</v>
      </c>
      <c r="AW17" t="e">
        <f>AND(#REF!,"AAAAAHv/fjA=")</f>
        <v>#REF!</v>
      </c>
      <c r="AX17" t="e">
        <f>AND(#REF!,"AAAAAHv/fjE=")</f>
        <v>#REF!</v>
      </c>
      <c r="AY17" t="e">
        <f>AND(#REF!,"AAAAAHv/fjI=")</f>
        <v>#REF!</v>
      </c>
      <c r="AZ17" t="e">
        <f>IF(#REF!,"AAAAAHv/fjM=",0)</f>
        <v>#REF!</v>
      </c>
      <c r="BA17" t="e">
        <f>AND(#REF!,"AAAAAHv/fjQ=")</f>
        <v>#REF!</v>
      </c>
      <c r="BB17" t="e">
        <f>AND(#REF!,"AAAAAHv/fjU=")</f>
        <v>#REF!</v>
      </c>
      <c r="BC17" t="e">
        <f>AND(#REF!,"AAAAAHv/fjY=")</f>
        <v>#REF!</v>
      </c>
      <c r="BD17" t="e">
        <f>AND(#REF!,"AAAAAHv/fjc=")</f>
        <v>#REF!</v>
      </c>
      <c r="BE17" t="e">
        <f>AND(#REF!,"AAAAAHv/fjg=")</f>
        <v>#REF!</v>
      </c>
      <c r="BF17" t="e">
        <f>AND(#REF!,"AAAAAHv/fjk=")</f>
        <v>#REF!</v>
      </c>
      <c r="BG17" t="e">
        <f>AND(#REF!,"AAAAAHv/fjo=")</f>
        <v>#REF!</v>
      </c>
      <c r="BH17" t="e">
        <f>AND(#REF!,"AAAAAHv/fjs=")</f>
        <v>#REF!</v>
      </c>
      <c r="BI17" t="e">
        <f>IF(#REF!,"AAAAAHv/fjw=",0)</f>
        <v>#REF!</v>
      </c>
      <c r="BJ17" t="e">
        <f>IF(#REF!,"AAAAAHv/fj0=",0)</f>
        <v>#REF!</v>
      </c>
      <c r="BK17" t="e">
        <f>IF(#REF!,"AAAAAHv/fj4=",0)</f>
        <v>#REF!</v>
      </c>
      <c r="BL17" t="e">
        <f>IF(#REF!,"AAAAAHv/fj8=",0)</f>
        <v>#REF!</v>
      </c>
      <c r="BM17" t="e">
        <f>IF(#REF!,"AAAAAHv/fkA=",0)</f>
        <v>#REF!</v>
      </c>
      <c r="BN17" t="e">
        <f>IF(#REF!,"AAAAAHv/fkE=",0)</f>
        <v>#REF!</v>
      </c>
      <c r="BO17" t="e">
        <f>IF(#REF!,"AAAAAHv/fkI=",0)</f>
        <v>#REF!</v>
      </c>
      <c r="BP17" t="e">
        <f>IF(#REF!,"AAAAAHv/fkM=",0)</f>
        <v>#REF!</v>
      </c>
      <c r="BQ17" t="e">
        <f>IF(#REF!,"AAAAAHv/fkQ=",0)</f>
        <v>#REF!</v>
      </c>
      <c r="BR17" t="e">
        <f>IF(#REF!,"AAAAAHv/fkU=",0)</f>
        <v>#REF!</v>
      </c>
      <c r="BS17" t="e">
        <f>IF(#REF!,"AAAAAHv/fkY=",0)</f>
        <v>#REF!</v>
      </c>
      <c r="BT17" t="e">
        <f>IF(#REF!,"AAAAAHv/fkc=",0)</f>
        <v>#REF!</v>
      </c>
      <c r="BU17" t="e">
        <f>IF(#REF!,"AAAAAHv/fkg=",0)</f>
        <v>#REF!</v>
      </c>
      <c r="BV17" t="e">
        <f>AND(#REF!,"AAAAAHv/fkk=")</f>
        <v>#REF!</v>
      </c>
      <c r="BW17" t="e">
        <f>AND(#REF!,"AAAAAHv/fko=")</f>
        <v>#REF!</v>
      </c>
      <c r="BX17" t="e">
        <f>AND(#REF!,"AAAAAHv/fks=")</f>
        <v>#REF!</v>
      </c>
      <c r="BY17" t="e">
        <f>AND(#REF!,"AAAAAHv/fkw=")</f>
        <v>#REF!</v>
      </c>
      <c r="BZ17" t="e">
        <f>AND(#REF!,"AAAAAHv/fk0=")</f>
        <v>#REF!</v>
      </c>
      <c r="CA17" t="e">
        <f>AND(#REF!,"AAAAAHv/fk4=")</f>
        <v>#REF!</v>
      </c>
      <c r="CB17" t="e">
        <f>AND(#REF!,"AAAAAHv/fk8=")</f>
        <v>#REF!</v>
      </c>
      <c r="CC17" t="e">
        <f>AND(#REF!,"AAAAAHv/flA=")</f>
        <v>#REF!</v>
      </c>
      <c r="CD17" t="e">
        <f>AND(#REF!,"AAAAAHv/flE=")</f>
        <v>#REF!</v>
      </c>
      <c r="CE17" t="e">
        <f>AND(#REF!,"AAAAAHv/flI=")</f>
        <v>#REF!</v>
      </c>
      <c r="CF17" t="e">
        <f>IF(#REF!,"AAAAAHv/flM=",0)</f>
        <v>#REF!</v>
      </c>
      <c r="CG17" t="e">
        <f>AND(#REF!,"AAAAAHv/flQ=")</f>
        <v>#REF!</v>
      </c>
      <c r="CH17" t="e">
        <f>AND(#REF!,"AAAAAHv/flU=")</f>
        <v>#REF!</v>
      </c>
      <c r="CI17" t="e">
        <f>AND(#REF!,"AAAAAHv/flY=")</f>
        <v>#REF!</v>
      </c>
      <c r="CJ17" t="e">
        <f>AND(#REF!,"AAAAAHv/flc=")</f>
        <v>#REF!</v>
      </c>
      <c r="CK17" t="e">
        <f>AND(#REF!,"AAAAAHv/flg=")</f>
        <v>#REF!</v>
      </c>
      <c r="CL17" t="e">
        <f>AND(#REF!,"AAAAAHv/flk=")</f>
        <v>#REF!</v>
      </c>
      <c r="CM17" t="e">
        <f>AND(#REF!,"AAAAAHv/flo=")</f>
        <v>#REF!</v>
      </c>
      <c r="CN17" t="e">
        <f>AND(#REF!,"AAAAAHv/fls=")</f>
        <v>#REF!</v>
      </c>
      <c r="CO17" t="e">
        <f>AND(#REF!,"AAAAAHv/flw=")</f>
        <v>#REF!</v>
      </c>
      <c r="CP17" t="e">
        <f>AND(#REF!,"AAAAAHv/fl0=")</f>
        <v>#REF!</v>
      </c>
      <c r="CQ17" t="e">
        <f>IF(#REF!,"AAAAAHv/fl4=",0)</f>
        <v>#REF!</v>
      </c>
      <c r="CR17" t="e">
        <f>AND(#REF!,"AAAAAHv/fl8=")</f>
        <v>#REF!</v>
      </c>
      <c r="CS17" t="e">
        <f>AND(#REF!,"AAAAAHv/fmA=")</f>
        <v>#REF!</v>
      </c>
      <c r="CT17" t="e">
        <f>AND(#REF!,"AAAAAHv/fmE=")</f>
        <v>#REF!</v>
      </c>
      <c r="CU17" t="e">
        <f>AND(#REF!,"AAAAAHv/fmI=")</f>
        <v>#REF!</v>
      </c>
      <c r="CV17" t="e">
        <f>AND(#REF!,"AAAAAHv/fmM=")</f>
        <v>#REF!</v>
      </c>
      <c r="CW17" t="e">
        <f>AND(#REF!,"AAAAAHv/fmQ=")</f>
        <v>#REF!</v>
      </c>
      <c r="CX17" t="e">
        <f>AND(#REF!,"AAAAAHv/fmU=")</f>
        <v>#REF!</v>
      </c>
      <c r="CY17" t="e">
        <f>AND(#REF!,"AAAAAHv/fmY=")</f>
        <v>#REF!</v>
      </c>
      <c r="CZ17" t="e">
        <f>AND(#REF!,"AAAAAHv/fmc=")</f>
        <v>#REF!</v>
      </c>
      <c r="DA17" t="e">
        <f>AND(#REF!,"AAAAAHv/fmg=")</f>
        <v>#REF!</v>
      </c>
      <c r="DB17" t="e">
        <f>IF(#REF!,"AAAAAHv/fmk=",0)</f>
        <v>#REF!</v>
      </c>
      <c r="DC17" t="e">
        <f>AND(#REF!,"AAAAAHv/fmo=")</f>
        <v>#REF!</v>
      </c>
      <c r="DD17" t="e">
        <f>AND(#REF!,"AAAAAHv/fms=")</f>
        <v>#REF!</v>
      </c>
      <c r="DE17" t="e">
        <f>AND(#REF!,"AAAAAHv/fmw=")</f>
        <v>#REF!</v>
      </c>
      <c r="DF17" t="e">
        <f>AND(#REF!,"AAAAAHv/fm0=")</f>
        <v>#REF!</v>
      </c>
      <c r="DG17" t="e">
        <f>AND(#REF!,"AAAAAHv/fm4=")</f>
        <v>#REF!</v>
      </c>
      <c r="DH17" t="e">
        <f>AND(#REF!,"AAAAAHv/fm8=")</f>
        <v>#REF!</v>
      </c>
      <c r="DI17" t="e">
        <f>AND(#REF!,"AAAAAHv/fnA=")</f>
        <v>#REF!</v>
      </c>
      <c r="DJ17" t="e">
        <f>AND(#REF!,"AAAAAHv/fnE=")</f>
        <v>#REF!</v>
      </c>
      <c r="DK17" t="e">
        <f>AND(#REF!,"AAAAAHv/fnI=")</f>
        <v>#REF!</v>
      </c>
      <c r="DL17" t="e">
        <f>AND(#REF!,"AAAAAHv/fnM=")</f>
        <v>#REF!</v>
      </c>
      <c r="DM17" t="e">
        <f>IF(#REF!,"AAAAAHv/fnQ=",0)</f>
        <v>#REF!</v>
      </c>
      <c r="DN17" t="e">
        <f>AND(#REF!,"AAAAAHv/fnU=")</f>
        <v>#REF!</v>
      </c>
      <c r="DO17" t="e">
        <f>AND(#REF!,"AAAAAHv/fnY=")</f>
        <v>#REF!</v>
      </c>
      <c r="DP17" t="e">
        <f>AND(#REF!,"AAAAAHv/fnc=")</f>
        <v>#REF!</v>
      </c>
      <c r="DQ17" t="e">
        <f>AND(#REF!,"AAAAAHv/fng=")</f>
        <v>#REF!</v>
      </c>
      <c r="DR17" t="e">
        <f>AND(#REF!,"AAAAAHv/fnk=")</f>
        <v>#REF!</v>
      </c>
      <c r="DS17" t="e">
        <f>AND(#REF!,"AAAAAHv/fno=")</f>
        <v>#REF!</v>
      </c>
      <c r="DT17" t="e">
        <f>AND(#REF!,"AAAAAHv/fns=")</f>
        <v>#REF!</v>
      </c>
      <c r="DU17" t="e">
        <f>AND(#REF!,"AAAAAHv/fnw=")</f>
        <v>#REF!</v>
      </c>
      <c r="DV17" t="e">
        <f>AND(#REF!,"AAAAAHv/fn0=")</f>
        <v>#REF!</v>
      </c>
      <c r="DW17" t="e">
        <f>AND(#REF!,"AAAAAHv/fn4=")</f>
        <v>#REF!</v>
      </c>
      <c r="DX17" t="e">
        <f>IF(#REF!,"AAAAAHv/fn8=",0)</f>
        <v>#REF!</v>
      </c>
      <c r="DY17" t="e">
        <f>AND(#REF!,"AAAAAHv/foA=")</f>
        <v>#REF!</v>
      </c>
      <c r="DZ17" t="e">
        <f>AND(#REF!,"AAAAAHv/foE=")</f>
        <v>#REF!</v>
      </c>
      <c r="EA17" t="e">
        <f>AND(#REF!,"AAAAAHv/foI=")</f>
        <v>#REF!</v>
      </c>
      <c r="EB17" t="e">
        <f>AND(#REF!,"AAAAAHv/foM=")</f>
        <v>#REF!</v>
      </c>
      <c r="EC17" t="e">
        <f>AND(#REF!,"AAAAAHv/foQ=")</f>
        <v>#REF!</v>
      </c>
      <c r="ED17" t="e">
        <f>AND(#REF!,"AAAAAHv/foU=")</f>
        <v>#REF!</v>
      </c>
      <c r="EE17" t="e">
        <f>AND(#REF!,"AAAAAHv/foY=")</f>
        <v>#REF!</v>
      </c>
      <c r="EF17" t="e">
        <f>AND(#REF!,"AAAAAHv/foc=")</f>
        <v>#REF!</v>
      </c>
      <c r="EG17" t="e">
        <f>AND(#REF!,"AAAAAHv/fog=")</f>
        <v>#REF!</v>
      </c>
      <c r="EH17" t="e">
        <f>AND(#REF!,"AAAAAHv/fok=")</f>
        <v>#REF!</v>
      </c>
      <c r="EI17" t="e">
        <f>IF(#REF!,"AAAAAHv/foo=",0)</f>
        <v>#REF!</v>
      </c>
      <c r="EJ17" t="e">
        <f>AND(#REF!,"AAAAAHv/fos=")</f>
        <v>#REF!</v>
      </c>
      <c r="EK17" t="e">
        <f>AND(#REF!,"AAAAAHv/fow=")</f>
        <v>#REF!</v>
      </c>
      <c r="EL17" t="e">
        <f>AND(#REF!,"AAAAAHv/fo0=")</f>
        <v>#REF!</v>
      </c>
      <c r="EM17" t="e">
        <f>AND(#REF!,"AAAAAHv/fo4=")</f>
        <v>#REF!</v>
      </c>
      <c r="EN17" t="e">
        <f>AND(#REF!,"AAAAAHv/fo8=")</f>
        <v>#REF!</v>
      </c>
      <c r="EO17" t="e">
        <f>AND(#REF!,"AAAAAHv/fpA=")</f>
        <v>#REF!</v>
      </c>
      <c r="EP17" t="e">
        <f>AND(#REF!,"AAAAAHv/fpE=")</f>
        <v>#REF!</v>
      </c>
      <c r="EQ17" t="e">
        <f>AND(#REF!,"AAAAAHv/fpI=")</f>
        <v>#REF!</v>
      </c>
      <c r="ER17" t="e">
        <f>AND(#REF!,"AAAAAHv/fpM=")</f>
        <v>#REF!</v>
      </c>
      <c r="ES17" t="e">
        <f>AND(#REF!,"AAAAAHv/fpQ=")</f>
        <v>#REF!</v>
      </c>
      <c r="ET17" t="e">
        <f>IF(#REF!,"AAAAAHv/fpU=",0)</f>
        <v>#REF!</v>
      </c>
      <c r="EU17" t="e">
        <f>AND(#REF!,"AAAAAHv/fpY=")</f>
        <v>#REF!</v>
      </c>
      <c r="EV17" t="e">
        <f>AND(#REF!,"AAAAAHv/fpc=")</f>
        <v>#REF!</v>
      </c>
      <c r="EW17" t="e">
        <f>AND(#REF!,"AAAAAHv/fpg=")</f>
        <v>#REF!</v>
      </c>
      <c r="EX17" t="e">
        <f>AND(#REF!,"AAAAAHv/fpk=")</f>
        <v>#REF!</v>
      </c>
      <c r="EY17" t="e">
        <f>AND(#REF!,"AAAAAHv/fpo=")</f>
        <v>#REF!</v>
      </c>
      <c r="EZ17" t="e">
        <f>AND(#REF!,"AAAAAHv/fps=")</f>
        <v>#REF!</v>
      </c>
      <c r="FA17" t="e">
        <f>AND(#REF!,"AAAAAHv/fpw=")</f>
        <v>#REF!</v>
      </c>
      <c r="FB17" t="e">
        <f>AND(#REF!,"AAAAAHv/fp0=")</f>
        <v>#REF!</v>
      </c>
      <c r="FC17" t="e">
        <f>AND(#REF!,"AAAAAHv/fp4=")</f>
        <v>#REF!</v>
      </c>
      <c r="FD17" t="e">
        <f>AND(#REF!,"AAAAAHv/fp8=")</f>
        <v>#REF!</v>
      </c>
      <c r="FE17" t="e">
        <f>IF(#REF!,"AAAAAHv/fqA=",0)</f>
        <v>#REF!</v>
      </c>
      <c r="FF17" t="e">
        <f>AND(#REF!,"AAAAAHv/fqE=")</f>
        <v>#REF!</v>
      </c>
      <c r="FG17" t="e">
        <f>AND(#REF!,"AAAAAHv/fqI=")</f>
        <v>#REF!</v>
      </c>
      <c r="FH17" t="e">
        <f>AND(#REF!,"AAAAAHv/fqM=")</f>
        <v>#REF!</v>
      </c>
      <c r="FI17" t="e">
        <f>AND(#REF!,"AAAAAHv/fqQ=")</f>
        <v>#REF!</v>
      </c>
      <c r="FJ17" t="e">
        <f>AND(#REF!,"AAAAAHv/fqU=")</f>
        <v>#REF!</v>
      </c>
      <c r="FK17" t="e">
        <f>AND(#REF!,"AAAAAHv/fqY=")</f>
        <v>#REF!</v>
      </c>
      <c r="FL17" t="e">
        <f>AND(#REF!,"AAAAAHv/fqc=")</f>
        <v>#REF!</v>
      </c>
      <c r="FM17" t="e">
        <f>AND(#REF!,"AAAAAHv/fqg=")</f>
        <v>#REF!</v>
      </c>
      <c r="FN17" t="e">
        <f>AND(#REF!,"AAAAAHv/fqk=")</f>
        <v>#REF!</v>
      </c>
      <c r="FO17" t="e">
        <f>AND(#REF!,"AAAAAHv/fqo=")</f>
        <v>#REF!</v>
      </c>
      <c r="FP17" t="e">
        <f>IF(#REF!,"AAAAAHv/fqs=",0)</f>
        <v>#REF!</v>
      </c>
      <c r="FQ17" t="e">
        <f>AND(#REF!,"AAAAAHv/fqw=")</f>
        <v>#REF!</v>
      </c>
      <c r="FR17" t="e">
        <f>AND(#REF!,"AAAAAHv/fq0=")</f>
        <v>#REF!</v>
      </c>
      <c r="FS17" t="e">
        <f>AND(#REF!,"AAAAAHv/fq4=")</f>
        <v>#REF!</v>
      </c>
      <c r="FT17" t="e">
        <f>AND(#REF!,"AAAAAHv/fq8=")</f>
        <v>#REF!</v>
      </c>
      <c r="FU17" t="e">
        <f>AND(#REF!,"AAAAAHv/frA=")</f>
        <v>#REF!</v>
      </c>
      <c r="FV17" t="e">
        <f>AND(#REF!,"AAAAAHv/frE=")</f>
        <v>#REF!</v>
      </c>
      <c r="FW17" t="e">
        <f>AND(#REF!,"AAAAAHv/frI=")</f>
        <v>#REF!</v>
      </c>
      <c r="FX17" t="e">
        <f>AND(#REF!,"AAAAAHv/frM=")</f>
        <v>#REF!</v>
      </c>
      <c r="FY17" t="e">
        <f>AND(#REF!,"AAAAAHv/frQ=")</f>
        <v>#REF!</v>
      </c>
      <c r="FZ17" t="e">
        <f>AND(#REF!,"AAAAAHv/frU=")</f>
        <v>#REF!</v>
      </c>
      <c r="GA17" t="e">
        <f>IF(#REF!,"AAAAAHv/frY=",0)</f>
        <v>#REF!</v>
      </c>
      <c r="GB17" t="e">
        <f>AND(#REF!,"AAAAAHv/frc=")</f>
        <v>#REF!</v>
      </c>
      <c r="GC17" t="e">
        <f>AND(#REF!,"AAAAAHv/frg=")</f>
        <v>#REF!</v>
      </c>
      <c r="GD17" t="e">
        <f>AND(#REF!,"AAAAAHv/frk=")</f>
        <v>#REF!</v>
      </c>
      <c r="GE17" t="e">
        <f>AND(#REF!,"AAAAAHv/fro=")</f>
        <v>#REF!</v>
      </c>
      <c r="GF17" t="e">
        <f>AND(#REF!,"AAAAAHv/frs=")</f>
        <v>#REF!</v>
      </c>
      <c r="GG17" t="e">
        <f>AND(#REF!,"AAAAAHv/frw=")</f>
        <v>#REF!</v>
      </c>
      <c r="GH17" t="e">
        <f>AND(#REF!,"AAAAAHv/fr0=")</f>
        <v>#REF!</v>
      </c>
      <c r="GI17" t="e">
        <f>AND(#REF!,"AAAAAHv/fr4=")</f>
        <v>#REF!</v>
      </c>
      <c r="GJ17" t="e">
        <f>AND(#REF!,"AAAAAHv/fr8=")</f>
        <v>#REF!</v>
      </c>
      <c r="GK17" t="e">
        <f>AND(#REF!,"AAAAAHv/fsA=")</f>
        <v>#REF!</v>
      </c>
      <c r="GL17" t="e">
        <f>IF(#REF!,"AAAAAHv/fsE=",0)</f>
        <v>#REF!</v>
      </c>
      <c r="GM17" t="e">
        <f>AND(#REF!,"AAAAAHv/fsI=")</f>
        <v>#REF!</v>
      </c>
      <c r="GN17" t="e">
        <f>AND(#REF!,"AAAAAHv/fsM=")</f>
        <v>#REF!</v>
      </c>
      <c r="GO17" t="e">
        <f>AND(#REF!,"AAAAAHv/fsQ=")</f>
        <v>#REF!</v>
      </c>
      <c r="GP17" t="e">
        <f>AND(#REF!,"AAAAAHv/fsU=")</f>
        <v>#REF!</v>
      </c>
      <c r="GQ17" t="e">
        <f>AND(#REF!,"AAAAAHv/fsY=")</f>
        <v>#REF!</v>
      </c>
      <c r="GR17" t="e">
        <f>AND(#REF!,"AAAAAHv/fsc=")</f>
        <v>#REF!</v>
      </c>
      <c r="GS17" t="e">
        <f>AND(#REF!,"AAAAAHv/fsg=")</f>
        <v>#REF!</v>
      </c>
      <c r="GT17" t="e">
        <f>AND(#REF!,"AAAAAHv/fsk=")</f>
        <v>#REF!</v>
      </c>
      <c r="GU17" t="e">
        <f>AND(#REF!,"AAAAAHv/fso=")</f>
        <v>#REF!</v>
      </c>
      <c r="GV17" t="e">
        <f>AND(#REF!,"AAAAAHv/fss=")</f>
        <v>#REF!</v>
      </c>
      <c r="GW17" t="e">
        <f>IF(#REF!,"AAAAAHv/fsw=",0)</f>
        <v>#REF!</v>
      </c>
      <c r="GX17" t="e">
        <f>AND(#REF!,"AAAAAHv/fs0=")</f>
        <v>#REF!</v>
      </c>
      <c r="GY17" t="e">
        <f>AND(#REF!,"AAAAAHv/fs4=")</f>
        <v>#REF!</v>
      </c>
      <c r="GZ17" t="e">
        <f>AND(#REF!,"AAAAAHv/fs8=")</f>
        <v>#REF!</v>
      </c>
      <c r="HA17" t="e">
        <f>AND(#REF!,"AAAAAHv/ftA=")</f>
        <v>#REF!</v>
      </c>
      <c r="HB17" t="e">
        <f>AND(#REF!,"AAAAAHv/ftE=")</f>
        <v>#REF!</v>
      </c>
      <c r="HC17" t="e">
        <f>AND(#REF!,"AAAAAHv/ftI=")</f>
        <v>#REF!</v>
      </c>
      <c r="HD17" t="e">
        <f>AND(#REF!,"AAAAAHv/ftM=")</f>
        <v>#REF!</v>
      </c>
      <c r="HE17" t="e">
        <f>AND(#REF!,"AAAAAHv/ftQ=")</f>
        <v>#REF!</v>
      </c>
      <c r="HF17" t="e">
        <f>AND(#REF!,"AAAAAHv/ftU=")</f>
        <v>#REF!</v>
      </c>
      <c r="HG17" t="e">
        <f>AND(#REF!,"AAAAAHv/ftY=")</f>
        <v>#REF!</v>
      </c>
      <c r="HH17" t="e">
        <f>IF(#REF!,"AAAAAHv/ftc=",0)</f>
        <v>#REF!</v>
      </c>
      <c r="HI17" t="e">
        <f>IF(#REF!,"AAAAAHv/ftg=",0)</f>
        <v>#REF!</v>
      </c>
      <c r="HJ17" t="e">
        <f>IF(#REF!,"AAAAAHv/ftk=",0)</f>
        <v>#REF!</v>
      </c>
      <c r="HK17" t="e">
        <f>IF(#REF!,"AAAAAHv/fto=",0)</f>
        <v>#REF!</v>
      </c>
      <c r="HL17" t="e">
        <f>IF(#REF!,"AAAAAHv/fts=",0)</f>
        <v>#REF!</v>
      </c>
      <c r="HM17" t="e">
        <f>IF(#REF!,"AAAAAHv/ftw=",0)</f>
        <v>#REF!</v>
      </c>
      <c r="HN17" t="e">
        <f>IF(#REF!,"AAAAAHv/ft0=",0)</f>
        <v>#REF!</v>
      </c>
      <c r="HO17" t="e">
        <f>IF(#REF!,"AAAAAHv/ft4=",0)</f>
        <v>#REF!</v>
      </c>
      <c r="HP17" t="e">
        <f>IF(#REF!,"AAAAAHv/ft8=",0)</f>
        <v>#REF!</v>
      </c>
      <c r="HQ17" t="e">
        <f>IF(#REF!,"AAAAAHv/fuA=",0)</f>
        <v>#REF!</v>
      </c>
      <c r="HR17" t="e">
        <f>IF(#REF!,"AAAAAHv/fuE=",0)</f>
        <v>#REF!</v>
      </c>
      <c r="HS17" t="e">
        <f>IF(#REF!,"AAAAAHv/fuI=",0)</f>
        <v>#REF!</v>
      </c>
      <c r="HT17" t="e">
        <f>IF(#REF!,"AAAAAHv/fuM=",0)</f>
        <v>#REF!</v>
      </c>
      <c r="HU17" t="e">
        <f>IF(#REF!,"AAAAAHv/fuQ=",0)</f>
        <v>#REF!</v>
      </c>
      <c r="HV17" t="e">
        <f>IF(#REF!,"AAAAAHv/fuU=",0)</f>
        <v>#REF!</v>
      </c>
      <c r="HW17" t="e">
        <f>AND(#REF!,"AAAAAHv/fuY=")</f>
        <v>#REF!</v>
      </c>
      <c r="HX17" t="e">
        <f>AND(#REF!,"AAAAAHv/fuc=")</f>
        <v>#REF!</v>
      </c>
      <c r="HY17" t="e">
        <f>AND(#REF!,"AAAAAHv/fug=")</f>
        <v>#REF!</v>
      </c>
      <c r="HZ17" t="e">
        <f>AND(#REF!,"AAAAAHv/fuk=")</f>
        <v>#REF!</v>
      </c>
      <c r="IA17" t="e">
        <f>AND(#REF!,"AAAAAHv/fuo=")</f>
        <v>#REF!</v>
      </c>
      <c r="IB17" t="e">
        <f>AND(#REF!,"AAAAAHv/fus=")</f>
        <v>#REF!</v>
      </c>
      <c r="IC17" t="e">
        <f>AND(#REF!,"AAAAAHv/fuw=")</f>
        <v>#REF!</v>
      </c>
      <c r="ID17" t="e">
        <f>AND(#REF!,"AAAAAHv/fu0=")</f>
        <v>#REF!</v>
      </c>
      <c r="IE17" t="e">
        <f>AND(#REF!,"AAAAAHv/fu4=")</f>
        <v>#REF!</v>
      </c>
      <c r="IF17" t="e">
        <f>AND(#REF!,"AAAAAHv/fu8=")</f>
        <v>#REF!</v>
      </c>
      <c r="IG17" t="e">
        <f>AND(#REF!,"AAAAAHv/fvA=")</f>
        <v>#REF!</v>
      </c>
      <c r="IH17" t="e">
        <f>IF(#REF!,"AAAAAHv/fvE=",0)</f>
        <v>#REF!</v>
      </c>
      <c r="II17" t="e">
        <f>AND(#REF!,"AAAAAHv/fvI=")</f>
        <v>#REF!</v>
      </c>
      <c r="IJ17" t="e">
        <f>AND(#REF!,"AAAAAHv/fvM=")</f>
        <v>#REF!</v>
      </c>
      <c r="IK17" t="e">
        <f>AND(#REF!,"AAAAAHv/fvQ=")</f>
        <v>#REF!</v>
      </c>
      <c r="IL17" t="e">
        <f>AND(#REF!,"AAAAAHv/fvU=")</f>
        <v>#REF!</v>
      </c>
      <c r="IM17" t="e">
        <f>AND(#REF!,"AAAAAHv/fvY=")</f>
        <v>#REF!</v>
      </c>
      <c r="IN17" t="e">
        <f>AND(#REF!,"AAAAAHv/fvc=")</f>
        <v>#REF!</v>
      </c>
      <c r="IO17" t="e">
        <f>AND(#REF!,"AAAAAHv/fvg=")</f>
        <v>#REF!</v>
      </c>
      <c r="IP17" t="e">
        <f>AND(#REF!,"AAAAAHv/fvk=")</f>
        <v>#REF!</v>
      </c>
      <c r="IQ17" t="e">
        <f>AND(#REF!,"AAAAAHv/fvo=")</f>
        <v>#REF!</v>
      </c>
      <c r="IR17" t="e">
        <f>AND(#REF!,"AAAAAHv/fvs=")</f>
        <v>#REF!</v>
      </c>
      <c r="IS17" t="e">
        <f>AND(#REF!,"AAAAAHv/fvw=")</f>
        <v>#REF!</v>
      </c>
      <c r="IT17" t="e">
        <f>IF(#REF!,"AAAAAHv/fv0=",0)</f>
        <v>#REF!</v>
      </c>
      <c r="IU17" t="e">
        <f>AND(#REF!,"AAAAAHv/fv4=")</f>
        <v>#REF!</v>
      </c>
      <c r="IV17" t="e">
        <f>AND(#REF!,"AAAAAHv/fv8=")</f>
        <v>#REF!</v>
      </c>
    </row>
    <row r="18" spans="1:256" ht="15">
      <c r="A18" t="e">
        <f>AND(#REF!,"AAAAAHr9/gA=")</f>
        <v>#REF!</v>
      </c>
      <c r="B18" t="e">
        <f>AND(#REF!,"AAAAAHr9/gE=")</f>
        <v>#REF!</v>
      </c>
      <c r="C18" t="e">
        <f>AND(#REF!,"AAAAAHr9/gI=")</f>
        <v>#REF!</v>
      </c>
      <c r="D18" t="e">
        <f>AND(#REF!,"AAAAAHr9/gM=")</f>
        <v>#REF!</v>
      </c>
      <c r="E18" t="e">
        <f>AND(#REF!,"AAAAAHr9/gQ=")</f>
        <v>#REF!</v>
      </c>
      <c r="F18" t="e">
        <f>AND(#REF!,"AAAAAHr9/gU=")</f>
        <v>#REF!</v>
      </c>
      <c r="G18" t="e">
        <f>AND(#REF!,"AAAAAHr9/gY=")</f>
        <v>#REF!</v>
      </c>
      <c r="H18" t="e">
        <f>AND(#REF!,"AAAAAHr9/gc=")</f>
        <v>#REF!</v>
      </c>
      <c r="I18" t="e">
        <f>AND(#REF!,"AAAAAHr9/gg=")</f>
        <v>#REF!</v>
      </c>
      <c r="J18" t="e">
        <f>IF(#REF!,"AAAAAHr9/gk=",0)</f>
        <v>#REF!</v>
      </c>
      <c r="K18" t="e">
        <f>AND(#REF!,"AAAAAHr9/go=")</f>
        <v>#REF!</v>
      </c>
      <c r="L18" t="e">
        <f>AND(#REF!,"AAAAAHr9/gs=")</f>
        <v>#REF!</v>
      </c>
      <c r="M18" t="e">
        <f>AND(#REF!,"AAAAAHr9/gw=")</f>
        <v>#REF!</v>
      </c>
      <c r="N18" t="e">
        <f>AND(#REF!,"AAAAAHr9/g0=")</f>
        <v>#REF!</v>
      </c>
      <c r="O18" t="e">
        <f>AND(#REF!,"AAAAAHr9/g4=")</f>
        <v>#REF!</v>
      </c>
      <c r="P18" t="e">
        <f>AND(#REF!,"AAAAAHr9/g8=")</f>
        <v>#REF!</v>
      </c>
      <c r="Q18" t="e">
        <f>AND(#REF!,"AAAAAHr9/hA=")</f>
        <v>#REF!</v>
      </c>
      <c r="R18" t="e">
        <f>AND(#REF!,"AAAAAHr9/hE=")</f>
        <v>#REF!</v>
      </c>
      <c r="S18" t="e">
        <f>AND(#REF!,"AAAAAHr9/hI=")</f>
        <v>#REF!</v>
      </c>
      <c r="T18" t="e">
        <f>AND(#REF!,"AAAAAHr9/hM=")</f>
        <v>#REF!</v>
      </c>
      <c r="U18" t="e">
        <f>AND(#REF!,"AAAAAHr9/hQ=")</f>
        <v>#REF!</v>
      </c>
      <c r="V18" t="e">
        <f>IF(#REF!,"AAAAAHr9/hU=",0)</f>
        <v>#REF!</v>
      </c>
      <c r="W18" t="e">
        <f>AND(#REF!,"AAAAAHr9/hY=")</f>
        <v>#REF!</v>
      </c>
      <c r="X18" t="e">
        <f>AND(#REF!,"AAAAAHr9/hc=")</f>
        <v>#REF!</v>
      </c>
      <c r="Y18" t="e">
        <f>AND(#REF!,"AAAAAHr9/hg=")</f>
        <v>#REF!</v>
      </c>
      <c r="Z18" t="e">
        <f>AND(#REF!,"AAAAAHr9/hk=")</f>
        <v>#REF!</v>
      </c>
      <c r="AA18" t="e">
        <f>AND(#REF!,"AAAAAHr9/ho=")</f>
        <v>#REF!</v>
      </c>
      <c r="AB18" t="e">
        <f>AND(#REF!,"AAAAAHr9/hs=")</f>
        <v>#REF!</v>
      </c>
      <c r="AC18" t="e">
        <f>AND(#REF!,"AAAAAHr9/hw=")</f>
        <v>#REF!</v>
      </c>
      <c r="AD18" t="e">
        <f>AND(#REF!,"AAAAAHr9/h0=")</f>
        <v>#REF!</v>
      </c>
      <c r="AE18" t="e">
        <f>AND(#REF!,"AAAAAHr9/h4=")</f>
        <v>#REF!</v>
      </c>
      <c r="AF18" t="e">
        <f>AND(#REF!,"AAAAAHr9/h8=")</f>
        <v>#REF!</v>
      </c>
      <c r="AG18" t="e">
        <f>AND(#REF!,"AAAAAHr9/iA=")</f>
        <v>#REF!</v>
      </c>
      <c r="AH18" t="e">
        <f>IF(#REF!,"AAAAAHr9/iE=",0)</f>
        <v>#REF!</v>
      </c>
      <c r="AI18" t="e">
        <f>AND(#REF!,"AAAAAHr9/iI=")</f>
        <v>#REF!</v>
      </c>
      <c r="AJ18" t="e">
        <f>AND(#REF!,"AAAAAHr9/iM=")</f>
        <v>#REF!</v>
      </c>
      <c r="AK18" t="e">
        <f>AND(#REF!,"AAAAAHr9/iQ=")</f>
        <v>#REF!</v>
      </c>
      <c r="AL18" t="e">
        <f>AND(#REF!,"AAAAAHr9/iU=")</f>
        <v>#REF!</v>
      </c>
      <c r="AM18" t="e">
        <f>AND(#REF!,"AAAAAHr9/iY=")</f>
        <v>#REF!</v>
      </c>
      <c r="AN18" t="e">
        <f>AND(#REF!,"AAAAAHr9/ic=")</f>
        <v>#REF!</v>
      </c>
      <c r="AO18" t="e">
        <f>AND(#REF!,"AAAAAHr9/ig=")</f>
        <v>#REF!</v>
      </c>
      <c r="AP18" t="e">
        <f>AND(#REF!,"AAAAAHr9/ik=")</f>
        <v>#REF!</v>
      </c>
      <c r="AQ18" t="e">
        <f>AND(#REF!,"AAAAAHr9/io=")</f>
        <v>#REF!</v>
      </c>
      <c r="AR18" t="e">
        <f>AND(#REF!,"AAAAAHr9/is=")</f>
        <v>#REF!</v>
      </c>
      <c r="AS18" t="e">
        <f>AND(#REF!,"AAAAAHr9/iw=")</f>
        <v>#REF!</v>
      </c>
      <c r="AT18" t="e">
        <f>IF(#REF!,"AAAAAHr9/i0=",0)</f>
        <v>#REF!</v>
      </c>
      <c r="AU18" t="e">
        <f>AND(#REF!,"AAAAAHr9/i4=")</f>
        <v>#REF!</v>
      </c>
      <c r="AV18" t="e">
        <f>AND(#REF!,"AAAAAHr9/i8=")</f>
        <v>#REF!</v>
      </c>
      <c r="AW18" t="e">
        <f>AND(#REF!,"AAAAAHr9/jA=")</f>
        <v>#REF!</v>
      </c>
      <c r="AX18" t="e">
        <f>AND(#REF!,"AAAAAHr9/jE=")</f>
        <v>#REF!</v>
      </c>
      <c r="AY18" t="e">
        <f>AND(#REF!,"AAAAAHr9/jI=")</f>
        <v>#REF!</v>
      </c>
      <c r="AZ18" t="e">
        <f>AND(#REF!,"AAAAAHr9/jM=")</f>
        <v>#REF!</v>
      </c>
      <c r="BA18" t="e">
        <f>AND(#REF!,"AAAAAHr9/jQ=")</f>
        <v>#REF!</v>
      </c>
      <c r="BB18" t="e">
        <f>AND(#REF!,"AAAAAHr9/jU=")</f>
        <v>#REF!</v>
      </c>
      <c r="BC18" t="e">
        <f>AND(#REF!,"AAAAAHr9/jY=")</f>
        <v>#REF!</v>
      </c>
      <c r="BD18" t="e">
        <f>AND(#REF!,"AAAAAHr9/jc=")</f>
        <v>#REF!</v>
      </c>
      <c r="BE18" t="e">
        <f>AND(#REF!,"AAAAAHr9/jg=")</f>
        <v>#REF!</v>
      </c>
      <c r="BF18" t="e">
        <f>IF(#REF!,"AAAAAHr9/jk=",0)</f>
        <v>#REF!</v>
      </c>
      <c r="BG18" t="e">
        <f>AND(#REF!,"AAAAAHr9/jo=")</f>
        <v>#REF!</v>
      </c>
      <c r="BH18" t="e">
        <f>AND(#REF!,"AAAAAHr9/js=")</f>
        <v>#REF!</v>
      </c>
      <c r="BI18" t="e">
        <f>AND(#REF!,"AAAAAHr9/jw=")</f>
        <v>#REF!</v>
      </c>
      <c r="BJ18" t="e">
        <f>AND(#REF!,"AAAAAHr9/j0=")</f>
        <v>#REF!</v>
      </c>
      <c r="BK18" t="e">
        <f>AND(#REF!,"AAAAAHr9/j4=")</f>
        <v>#REF!</v>
      </c>
      <c r="BL18" t="e">
        <f>AND(#REF!,"AAAAAHr9/j8=")</f>
        <v>#REF!</v>
      </c>
      <c r="BM18" t="e">
        <f>AND(#REF!,"AAAAAHr9/kA=")</f>
        <v>#REF!</v>
      </c>
      <c r="BN18" t="e">
        <f>AND(#REF!,"AAAAAHr9/kE=")</f>
        <v>#REF!</v>
      </c>
      <c r="BO18" t="e">
        <f>AND(#REF!,"AAAAAHr9/kI=")</f>
        <v>#REF!</v>
      </c>
      <c r="BP18" t="e">
        <f>AND(#REF!,"AAAAAHr9/kM=")</f>
        <v>#REF!</v>
      </c>
      <c r="BQ18" t="e">
        <f>AND(#REF!,"AAAAAHr9/kQ=")</f>
        <v>#REF!</v>
      </c>
      <c r="BR18" t="e">
        <f>IF(#REF!,"AAAAAHr9/kU=",0)</f>
        <v>#REF!</v>
      </c>
      <c r="BS18" t="e">
        <f>AND(#REF!,"AAAAAHr9/kY=")</f>
        <v>#REF!</v>
      </c>
      <c r="BT18" t="e">
        <f>AND(#REF!,"AAAAAHr9/kc=")</f>
        <v>#REF!</v>
      </c>
      <c r="BU18" t="e">
        <f>AND(#REF!,"AAAAAHr9/kg=")</f>
        <v>#REF!</v>
      </c>
      <c r="BV18" t="e">
        <f>AND(#REF!,"AAAAAHr9/kk=")</f>
        <v>#REF!</v>
      </c>
      <c r="BW18" t="e">
        <f>AND(#REF!,"AAAAAHr9/ko=")</f>
        <v>#REF!</v>
      </c>
      <c r="BX18" t="e">
        <f>AND(#REF!,"AAAAAHr9/ks=")</f>
        <v>#REF!</v>
      </c>
      <c r="BY18" t="e">
        <f>AND(#REF!,"AAAAAHr9/kw=")</f>
        <v>#REF!</v>
      </c>
      <c r="BZ18" t="e">
        <f>AND(#REF!,"AAAAAHr9/k0=")</f>
        <v>#REF!</v>
      </c>
      <c r="CA18" t="e">
        <f>AND(#REF!,"AAAAAHr9/k4=")</f>
        <v>#REF!</v>
      </c>
      <c r="CB18" t="e">
        <f>AND(#REF!,"AAAAAHr9/k8=")</f>
        <v>#REF!</v>
      </c>
      <c r="CC18" t="e">
        <f>AND(#REF!,"AAAAAHr9/lA=")</f>
        <v>#REF!</v>
      </c>
      <c r="CD18" t="e">
        <f>IF(#REF!,"AAAAAHr9/lE=",0)</f>
        <v>#REF!</v>
      </c>
      <c r="CE18" t="e">
        <f>AND(#REF!,"AAAAAHr9/lI=")</f>
        <v>#REF!</v>
      </c>
      <c r="CF18" t="e">
        <f>AND(#REF!,"AAAAAHr9/lM=")</f>
        <v>#REF!</v>
      </c>
      <c r="CG18" t="e">
        <f>AND(#REF!,"AAAAAHr9/lQ=")</f>
        <v>#REF!</v>
      </c>
      <c r="CH18" t="e">
        <f>AND(#REF!,"AAAAAHr9/lU=")</f>
        <v>#REF!</v>
      </c>
      <c r="CI18" t="e">
        <f>AND(#REF!,"AAAAAHr9/lY=")</f>
        <v>#REF!</v>
      </c>
      <c r="CJ18" t="e">
        <f>AND(#REF!,"AAAAAHr9/lc=")</f>
        <v>#REF!</v>
      </c>
      <c r="CK18" t="e">
        <f>AND(#REF!,"AAAAAHr9/lg=")</f>
        <v>#REF!</v>
      </c>
      <c r="CL18" t="e">
        <f>AND(#REF!,"AAAAAHr9/lk=")</f>
        <v>#REF!</v>
      </c>
      <c r="CM18" t="e">
        <f>AND(#REF!,"AAAAAHr9/lo=")</f>
        <v>#REF!</v>
      </c>
      <c r="CN18" t="e">
        <f>AND(#REF!,"AAAAAHr9/ls=")</f>
        <v>#REF!</v>
      </c>
      <c r="CO18" t="e">
        <f>AND(#REF!,"AAAAAHr9/lw=")</f>
        <v>#REF!</v>
      </c>
      <c r="CP18" t="e">
        <f>IF(#REF!,"AAAAAHr9/l0=",0)</f>
        <v>#REF!</v>
      </c>
      <c r="CQ18" t="e">
        <f>AND(#REF!,"AAAAAHr9/l4=")</f>
        <v>#REF!</v>
      </c>
      <c r="CR18" t="e">
        <f>AND(#REF!,"AAAAAHr9/l8=")</f>
        <v>#REF!</v>
      </c>
      <c r="CS18" t="e">
        <f>AND(#REF!,"AAAAAHr9/mA=")</f>
        <v>#REF!</v>
      </c>
      <c r="CT18" t="e">
        <f>AND(#REF!,"AAAAAHr9/mE=")</f>
        <v>#REF!</v>
      </c>
      <c r="CU18" t="e">
        <f>AND(#REF!,"AAAAAHr9/mI=")</f>
        <v>#REF!</v>
      </c>
      <c r="CV18" t="e">
        <f>AND(#REF!,"AAAAAHr9/mM=")</f>
        <v>#REF!</v>
      </c>
      <c r="CW18" t="e">
        <f>AND(#REF!,"AAAAAHr9/mQ=")</f>
        <v>#REF!</v>
      </c>
      <c r="CX18" t="e">
        <f>AND(#REF!,"AAAAAHr9/mU=")</f>
        <v>#REF!</v>
      </c>
      <c r="CY18" t="e">
        <f>AND(#REF!,"AAAAAHr9/mY=")</f>
        <v>#REF!</v>
      </c>
      <c r="CZ18" t="e">
        <f>AND(#REF!,"AAAAAHr9/mc=")</f>
        <v>#REF!</v>
      </c>
      <c r="DA18" t="e">
        <f>AND(#REF!,"AAAAAHr9/mg=")</f>
        <v>#REF!</v>
      </c>
      <c r="DB18" t="e">
        <f>IF(#REF!,"AAAAAHr9/mk=",0)</f>
        <v>#REF!</v>
      </c>
      <c r="DC18" t="e">
        <f>AND(#REF!,"AAAAAHr9/mo=")</f>
        <v>#REF!</v>
      </c>
      <c r="DD18" t="e">
        <f>AND(#REF!,"AAAAAHr9/ms=")</f>
        <v>#REF!</v>
      </c>
      <c r="DE18" t="e">
        <f>AND(#REF!,"AAAAAHr9/mw=")</f>
        <v>#REF!</v>
      </c>
      <c r="DF18" t="e">
        <f>AND(#REF!,"AAAAAHr9/m0=")</f>
        <v>#REF!</v>
      </c>
      <c r="DG18" t="e">
        <f>AND(#REF!,"AAAAAHr9/m4=")</f>
        <v>#REF!</v>
      </c>
      <c r="DH18" t="e">
        <f>AND(#REF!,"AAAAAHr9/m8=")</f>
        <v>#REF!</v>
      </c>
      <c r="DI18" t="e">
        <f>AND(#REF!,"AAAAAHr9/nA=")</f>
        <v>#REF!</v>
      </c>
      <c r="DJ18" t="e">
        <f>AND(#REF!,"AAAAAHr9/nE=")</f>
        <v>#REF!</v>
      </c>
      <c r="DK18" t="e">
        <f>AND(#REF!,"AAAAAHr9/nI=")</f>
        <v>#REF!</v>
      </c>
      <c r="DL18" t="e">
        <f>AND(#REF!,"AAAAAHr9/nM=")</f>
        <v>#REF!</v>
      </c>
      <c r="DM18" t="e">
        <f>AND(#REF!,"AAAAAHr9/nQ=")</f>
        <v>#REF!</v>
      </c>
      <c r="DN18" t="e">
        <f>IF(#REF!,"AAAAAHr9/nU=",0)</f>
        <v>#REF!</v>
      </c>
      <c r="DO18" t="e">
        <f>AND(#REF!,"AAAAAHr9/nY=")</f>
        <v>#REF!</v>
      </c>
      <c r="DP18" t="e">
        <f>AND(#REF!,"AAAAAHr9/nc=")</f>
        <v>#REF!</v>
      </c>
      <c r="DQ18" t="e">
        <f>AND(#REF!,"AAAAAHr9/ng=")</f>
        <v>#REF!</v>
      </c>
      <c r="DR18" t="e">
        <f>AND(#REF!,"AAAAAHr9/nk=")</f>
        <v>#REF!</v>
      </c>
      <c r="DS18" t="e">
        <f>AND(#REF!,"AAAAAHr9/no=")</f>
        <v>#REF!</v>
      </c>
      <c r="DT18" t="e">
        <f>AND(#REF!,"AAAAAHr9/ns=")</f>
        <v>#REF!</v>
      </c>
      <c r="DU18" t="e">
        <f>AND(#REF!,"AAAAAHr9/nw=")</f>
        <v>#REF!</v>
      </c>
      <c r="DV18" t="e">
        <f>AND(#REF!,"AAAAAHr9/n0=")</f>
        <v>#REF!</v>
      </c>
      <c r="DW18" t="e">
        <f>AND(#REF!,"AAAAAHr9/n4=")</f>
        <v>#REF!</v>
      </c>
      <c r="DX18" t="e">
        <f>AND(#REF!,"AAAAAHr9/n8=")</f>
        <v>#REF!</v>
      </c>
      <c r="DY18" t="e">
        <f>AND(#REF!,"AAAAAHr9/oA=")</f>
        <v>#REF!</v>
      </c>
      <c r="DZ18" t="e">
        <f>IF(#REF!,"AAAAAHr9/oE=",0)</f>
        <v>#REF!</v>
      </c>
      <c r="EA18" t="e">
        <f>AND(#REF!,"AAAAAHr9/oI=")</f>
        <v>#REF!</v>
      </c>
      <c r="EB18" t="e">
        <f>AND(#REF!,"AAAAAHr9/oM=")</f>
        <v>#REF!</v>
      </c>
      <c r="EC18" t="e">
        <f>AND(#REF!,"AAAAAHr9/oQ=")</f>
        <v>#REF!</v>
      </c>
      <c r="ED18" t="e">
        <f>AND(#REF!,"AAAAAHr9/oU=")</f>
        <v>#REF!</v>
      </c>
      <c r="EE18" t="e">
        <f>AND(#REF!,"AAAAAHr9/oY=")</f>
        <v>#REF!</v>
      </c>
      <c r="EF18" t="e">
        <f>AND(#REF!,"AAAAAHr9/oc=")</f>
        <v>#REF!</v>
      </c>
      <c r="EG18" t="e">
        <f>AND(#REF!,"AAAAAHr9/og=")</f>
        <v>#REF!</v>
      </c>
      <c r="EH18" t="e">
        <f>AND(#REF!,"AAAAAHr9/ok=")</f>
        <v>#REF!</v>
      </c>
      <c r="EI18" t="e">
        <f>AND(#REF!,"AAAAAHr9/oo=")</f>
        <v>#REF!</v>
      </c>
      <c r="EJ18" t="e">
        <f>AND(#REF!,"AAAAAHr9/os=")</f>
        <v>#REF!</v>
      </c>
      <c r="EK18" t="e">
        <f>AND(#REF!,"AAAAAHr9/ow=")</f>
        <v>#REF!</v>
      </c>
      <c r="EL18" t="e">
        <f>IF(#REF!,"AAAAAHr9/o0=",0)</f>
        <v>#REF!</v>
      </c>
      <c r="EM18" t="e">
        <f>AND(#REF!,"AAAAAHr9/o4=")</f>
        <v>#REF!</v>
      </c>
      <c r="EN18" t="e">
        <f>AND(#REF!,"AAAAAHr9/o8=")</f>
        <v>#REF!</v>
      </c>
      <c r="EO18" t="e">
        <f>AND(#REF!,"AAAAAHr9/pA=")</f>
        <v>#REF!</v>
      </c>
      <c r="EP18" t="e">
        <f>AND(#REF!,"AAAAAHr9/pE=")</f>
        <v>#REF!</v>
      </c>
      <c r="EQ18" t="e">
        <f>AND(#REF!,"AAAAAHr9/pI=")</f>
        <v>#REF!</v>
      </c>
      <c r="ER18" t="e">
        <f>AND(#REF!,"AAAAAHr9/pM=")</f>
        <v>#REF!</v>
      </c>
      <c r="ES18" t="e">
        <f>AND(#REF!,"AAAAAHr9/pQ=")</f>
        <v>#REF!</v>
      </c>
      <c r="ET18" t="e">
        <f>AND(#REF!,"AAAAAHr9/pU=")</f>
        <v>#REF!</v>
      </c>
      <c r="EU18" t="e">
        <f>AND(#REF!,"AAAAAHr9/pY=")</f>
        <v>#REF!</v>
      </c>
      <c r="EV18" t="e">
        <f>AND(#REF!,"AAAAAHr9/pc=")</f>
        <v>#REF!</v>
      </c>
      <c r="EW18" t="e">
        <f>AND(#REF!,"AAAAAHr9/pg=")</f>
        <v>#REF!</v>
      </c>
      <c r="EX18" t="e">
        <f>IF(#REF!,"AAAAAHr9/pk=",0)</f>
        <v>#REF!</v>
      </c>
      <c r="EY18" t="e">
        <f>AND(#REF!,"AAAAAHr9/po=")</f>
        <v>#REF!</v>
      </c>
      <c r="EZ18" t="e">
        <f>AND(#REF!,"AAAAAHr9/ps=")</f>
        <v>#REF!</v>
      </c>
      <c r="FA18" t="e">
        <f>AND(#REF!,"AAAAAHr9/pw=")</f>
        <v>#REF!</v>
      </c>
      <c r="FB18" t="e">
        <f>AND(#REF!,"AAAAAHr9/p0=")</f>
        <v>#REF!</v>
      </c>
      <c r="FC18" t="e">
        <f>AND(#REF!,"AAAAAHr9/p4=")</f>
        <v>#REF!</v>
      </c>
      <c r="FD18" t="e">
        <f>AND(#REF!,"AAAAAHr9/p8=")</f>
        <v>#REF!</v>
      </c>
      <c r="FE18" t="e">
        <f>AND(#REF!,"AAAAAHr9/qA=")</f>
        <v>#REF!</v>
      </c>
      <c r="FF18" t="e">
        <f>AND(#REF!,"AAAAAHr9/qE=")</f>
        <v>#REF!</v>
      </c>
      <c r="FG18" t="e">
        <f>AND(#REF!,"AAAAAHr9/qI=")</f>
        <v>#REF!</v>
      </c>
      <c r="FH18" t="e">
        <f>AND(#REF!,"AAAAAHr9/qM=")</f>
        <v>#REF!</v>
      </c>
      <c r="FI18" t="e">
        <f>AND(#REF!,"AAAAAHr9/qQ=")</f>
        <v>#REF!</v>
      </c>
      <c r="FJ18" t="e">
        <f>IF(#REF!,"AAAAAHr9/qU=",0)</f>
        <v>#REF!</v>
      </c>
      <c r="FK18" t="e">
        <f>AND(#REF!,"AAAAAHr9/qY=")</f>
        <v>#REF!</v>
      </c>
      <c r="FL18" t="e">
        <f>AND(#REF!,"AAAAAHr9/qc=")</f>
        <v>#REF!</v>
      </c>
      <c r="FM18" t="e">
        <f>AND(#REF!,"AAAAAHr9/qg=")</f>
        <v>#REF!</v>
      </c>
      <c r="FN18" t="e">
        <f>AND(#REF!,"AAAAAHr9/qk=")</f>
        <v>#REF!</v>
      </c>
      <c r="FO18" t="e">
        <f>AND(#REF!,"AAAAAHr9/qo=")</f>
        <v>#REF!</v>
      </c>
      <c r="FP18" t="e">
        <f>AND(#REF!,"AAAAAHr9/qs=")</f>
        <v>#REF!</v>
      </c>
      <c r="FQ18" t="e">
        <f>AND(#REF!,"AAAAAHr9/qw=")</f>
        <v>#REF!</v>
      </c>
      <c r="FR18" t="e">
        <f>AND(#REF!,"AAAAAHr9/q0=")</f>
        <v>#REF!</v>
      </c>
      <c r="FS18" t="e">
        <f>AND(#REF!,"AAAAAHr9/q4=")</f>
        <v>#REF!</v>
      </c>
      <c r="FT18" t="e">
        <f>AND(#REF!,"AAAAAHr9/q8=")</f>
        <v>#REF!</v>
      </c>
      <c r="FU18" t="e">
        <f>AND(#REF!,"AAAAAHr9/rA=")</f>
        <v>#REF!</v>
      </c>
      <c r="FV18" t="e">
        <f>IF(#REF!,"AAAAAHr9/rE=",0)</f>
        <v>#REF!</v>
      </c>
      <c r="FW18" t="e">
        <f>AND(#REF!,"AAAAAHr9/rI=")</f>
        <v>#REF!</v>
      </c>
      <c r="FX18" t="e">
        <f>AND(#REF!,"AAAAAHr9/rM=")</f>
        <v>#REF!</v>
      </c>
      <c r="FY18" t="e">
        <f>AND(#REF!,"AAAAAHr9/rQ=")</f>
        <v>#REF!</v>
      </c>
      <c r="FZ18" t="e">
        <f>AND(#REF!,"AAAAAHr9/rU=")</f>
        <v>#REF!</v>
      </c>
      <c r="GA18" t="e">
        <f>AND(#REF!,"AAAAAHr9/rY=")</f>
        <v>#REF!</v>
      </c>
      <c r="GB18" t="e">
        <f>AND(#REF!,"AAAAAHr9/rc=")</f>
        <v>#REF!</v>
      </c>
      <c r="GC18" t="e">
        <f>AND(#REF!,"AAAAAHr9/rg=")</f>
        <v>#REF!</v>
      </c>
      <c r="GD18" t="e">
        <f>AND(#REF!,"AAAAAHr9/rk=")</f>
        <v>#REF!</v>
      </c>
      <c r="GE18" t="e">
        <f>AND(#REF!,"AAAAAHr9/ro=")</f>
        <v>#REF!</v>
      </c>
      <c r="GF18" t="e">
        <f>AND(#REF!,"AAAAAHr9/rs=")</f>
        <v>#REF!</v>
      </c>
      <c r="GG18" t="e">
        <f>AND(#REF!,"AAAAAHr9/rw=")</f>
        <v>#REF!</v>
      </c>
      <c r="GH18" t="e">
        <f>IF(#REF!,"AAAAAHr9/r0=",0)</f>
        <v>#REF!</v>
      </c>
      <c r="GI18" t="e">
        <f>AND(#REF!,"AAAAAHr9/r4=")</f>
        <v>#REF!</v>
      </c>
      <c r="GJ18" t="e">
        <f>AND(#REF!,"AAAAAHr9/r8=")</f>
        <v>#REF!</v>
      </c>
      <c r="GK18" t="e">
        <f>AND(#REF!,"AAAAAHr9/sA=")</f>
        <v>#REF!</v>
      </c>
      <c r="GL18" t="e">
        <f>AND(#REF!,"AAAAAHr9/sE=")</f>
        <v>#REF!</v>
      </c>
      <c r="GM18" t="e">
        <f>AND(#REF!,"AAAAAHr9/sI=")</f>
        <v>#REF!</v>
      </c>
      <c r="GN18" t="e">
        <f>AND(#REF!,"AAAAAHr9/sM=")</f>
        <v>#REF!</v>
      </c>
      <c r="GO18" t="e">
        <f>AND(#REF!,"AAAAAHr9/sQ=")</f>
        <v>#REF!</v>
      </c>
      <c r="GP18" t="e">
        <f>AND(#REF!,"AAAAAHr9/sU=")</f>
        <v>#REF!</v>
      </c>
      <c r="GQ18" t="e">
        <f>AND(#REF!,"AAAAAHr9/sY=")</f>
        <v>#REF!</v>
      </c>
      <c r="GR18" t="e">
        <f>AND(#REF!,"AAAAAHr9/sc=")</f>
        <v>#REF!</v>
      </c>
      <c r="GS18" t="e">
        <f>AND(#REF!,"AAAAAHr9/sg=")</f>
        <v>#REF!</v>
      </c>
      <c r="GT18" t="e">
        <f>IF(#REF!,"AAAAAHr9/sk=",0)</f>
        <v>#REF!</v>
      </c>
      <c r="GU18" t="e">
        <f>AND(#REF!,"AAAAAHr9/so=")</f>
        <v>#REF!</v>
      </c>
      <c r="GV18" t="e">
        <f>AND(#REF!,"AAAAAHr9/ss=")</f>
        <v>#REF!</v>
      </c>
      <c r="GW18" t="e">
        <f>AND(#REF!,"AAAAAHr9/sw=")</f>
        <v>#REF!</v>
      </c>
      <c r="GX18" t="e">
        <f>AND(#REF!,"AAAAAHr9/s0=")</f>
        <v>#REF!</v>
      </c>
      <c r="GY18" t="e">
        <f>AND(#REF!,"AAAAAHr9/s4=")</f>
        <v>#REF!</v>
      </c>
      <c r="GZ18" t="e">
        <f>AND(#REF!,"AAAAAHr9/s8=")</f>
        <v>#REF!</v>
      </c>
      <c r="HA18" t="e">
        <f>AND(#REF!,"AAAAAHr9/tA=")</f>
        <v>#REF!</v>
      </c>
      <c r="HB18" t="e">
        <f>AND(#REF!,"AAAAAHr9/tE=")</f>
        <v>#REF!</v>
      </c>
      <c r="HC18" t="e">
        <f>AND(#REF!,"AAAAAHr9/tI=")</f>
        <v>#REF!</v>
      </c>
      <c r="HD18" t="e">
        <f>AND(#REF!,"AAAAAHr9/tM=")</f>
        <v>#REF!</v>
      </c>
      <c r="HE18" t="e">
        <f>AND(#REF!,"AAAAAHr9/tQ=")</f>
        <v>#REF!</v>
      </c>
      <c r="HF18" t="e">
        <f>IF(#REF!,"AAAAAHr9/tU=",0)</f>
        <v>#REF!</v>
      </c>
      <c r="HG18" t="e">
        <f>AND(#REF!,"AAAAAHr9/tY=")</f>
        <v>#REF!</v>
      </c>
      <c r="HH18" t="e">
        <f>AND(#REF!,"AAAAAHr9/tc=")</f>
        <v>#REF!</v>
      </c>
      <c r="HI18" t="e">
        <f>AND(#REF!,"AAAAAHr9/tg=")</f>
        <v>#REF!</v>
      </c>
      <c r="HJ18" t="e">
        <f>AND(#REF!,"AAAAAHr9/tk=")</f>
        <v>#REF!</v>
      </c>
      <c r="HK18" t="e">
        <f>AND(#REF!,"AAAAAHr9/to=")</f>
        <v>#REF!</v>
      </c>
      <c r="HL18" t="e">
        <f>AND(#REF!,"AAAAAHr9/ts=")</f>
        <v>#REF!</v>
      </c>
      <c r="HM18" t="e">
        <f>AND(#REF!,"AAAAAHr9/tw=")</f>
        <v>#REF!</v>
      </c>
      <c r="HN18" t="e">
        <f>AND(#REF!,"AAAAAHr9/t0=")</f>
        <v>#REF!</v>
      </c>
      <c r="HO18" t="e">
        <f>AND(#REF!,"AAAAAHr9/t4=")</f>
        <v>#REF!</v>
      </c>
      <c r="HP18" t="e">
        <f>AND(#REF!,"AAAAAHr9/t8=")</f>
        <v>#REF!</v>
      </c>
      <c r="HQ18" t="e">
        <f>AND(#REF!,"AAAAAHr9/uA=")</f>
        <v>#REF!</v>
      </c>
      <c r="HR18" t="e">
        <f>IF(#REF!,"AAAAAHr9/uE=",0)</f>
        <v>#REF!</v>
      </c>
      <c r="HS18" t="e">
        <f>AND(#REF!,"AAAAAHr9/uI=")</f>
        <v>#REF!</v>
      </c>
      <c r="HT18" t="e">
        <f>AND(#REF!,"AAAAAHr9/uM=")</f>
        <v>#REF!</v>
      </c>
      <c r="HU18" t="e">
        <f>AND(#REF!,"AAAAAHr9/uQ=")</f>
        <v>#REF!</v>
      </c>
      <c r="HV18" t="e">
        <f>AND(#REF!,"AAAAAHr9/uU=")</f>
        <v>#REF!</v>
      </c>
      <c r="HW18" t="e">
        <f>AND(#REF!,"AAAAAHr9/uY=")</f>
        <v>#REF!</v>
      </c>
      <c r="HX18" t="e">
        <f>AND(#REF!,"AAAAAHr9/uc=")</f>
        <v>#REF!</v>
      </c>
      <c r="HY18" t="e">
        <f>AND(#REF!,"AAAAAHr9/ug=")</f>
        <v>#REF!</v>
      </c>
      <c r="HZ18" t="e">
        <f>AND(#REF!,"AAAAAHr9/uk=")</f>
        <v>#REF!</v>
      </c>
      <c r="IA18" t="e">
        <f>AND(#REF!,"AAAAAHr9/uo=")</f>
        <v>#REF!</v>
      </c>
      <c r="IB18" t="e">
        <f>AND(#REF!,"AAAAAHr9/us=")</f>
        <v>#REF!</v>
      </c>
      <c r="IC18" t="e">
        <f>AND(#REF!,"AAAAAHr9/uw=")</f>
        <v>#REF!</v>
      </c>
      <c r="ID18" t="e">
        <f>IF(#REF!,"AAAAAHr9/u0=",0)</f>
        <v>#REF!</v>
      </c>
      <c r="IE18" t="e">
        <f>AND(#REF!,"AAAAAHr9/u4=")</f>
        <v>#REF!</v>
      </c>
      <c r="IF18" t="e">
        <f>AND(#REF!,"AAAAAHr9/u8=")</f>
        <v>#REF!</v>
      </c>
      <c r="IG18" t="e">
        <f>AND(#REF!,"AAAAAHr9/vA=")</f>
        <v>#REF!</v>
      </c>
      <c r="IH18" t="e">
        <f>AND(#REF!,"AAAAAHr9/vE=")</f>
        <v>#REF!</v>
      </c>
      <c r="II18" t="e">
        <f>AND(#REF!,"AAAAAHr9/vI=")</f>
        <v>#REF!</v>
      </c>
      <c r="IJ18" t="e">
        <f>AND(#REF!,"AAAAAHr9/vM=")</f>
        <v>#REF!</v>
      </c>
      <c r="IK18" t="e">
        <f>AND(#REF!,"AAAAAHr9/vQ=")</f>
        <v>#REF!</v>
      </c>
      <c r="IL18" t="e">
        <f>AND(#REF!,"AAAAAHr9/vU=")</f>
        <v>#REF!</v>
      </c>
      <c r="IM18" t="e">
        <f>AND(#REF!,"AAAAAHr9/vY=")</f>
        <v>#REF!</v>
      </c>
      <c r="IN18" t="e">
        <f>AND(#REF!,"AAAAAHr9/vc=")</f>
        <v>#REF!</v>
      </c>
      <c r="IO18" t="e">
        <f>AND(#REF!,"AAAAAHr9/vg=")</f>
        <v>#REF!</v>
      </c>
      <c r="IP18" t="e">
        <f>IF(#REF!,"AAAAAHr9/vk=",0)</f>
        <v>#REF!</v>
      </c>
      <c r="IQ18" t="e">
        <f>AND(#REF!,"AAAAAHr9/vo=")</f>
        <v>#REF!</v>
      </c>
      <c r="IR18" t="e">
        <f>AND(#REF!,"AAAAAHr9/vs=")</f>
        <v>#REF!</v>
      </c>
      <c r="IS18" t="e">
        <f>AND(#REF!,"AAAAAHr9/vw=")</f>
        <v>#REF!</v>
      </c>
      <c r="IT18" t="e">
        <f>AND(#REF!,"AAAAAHr9/v0=")</f>
        <v>#REF!</v>
      </c>
      <c r="IU18" t="e">
        <f>AND(#REF!,"AAAAAHr9/v4=")</f>
        <v>#REF!</v>
      </c>
      <c r="IV18" t="e">
        <f>AND(#REF!,"AAAAAHr9/v8=")</f>
        <v>#REF!</v>
      </c>
    </row>
    <row r="19" spans="1:256" ht="15">
      <c r="A19" t="e">
        <f>AND(#REF!,"AAAAACqvfAA=")</f>
        <v>#REF!</v>
      </c>
      <c r="B19" t="e">
        <f>AND(#REF!,"AAAAACqvfAE=")</f>
        <v>#REF!</v>
      </c>
      <c r="C19" t="e">
        <f>AND(#REF!,"AAAAACqvfAI=")</f>
        <v>#REF!</v>
      </c>
      <c r="D19" t="e">
        <f>AND(#REF!,"AAAAACqvfAM=")</f>
        <v>#REF!</v>
      </c>
      <c r="E19" t="e">
        <f>AND(#REF!,"AAAAACqvfAQ=")</f>
        <v>#REF!</v>
      </c>
      <c r="F19" t="e">
        <f>IF(#REF!,"AAAAACqvfAU=",0)</f>
        <v>#REF!</v>
      </c>
      <c r="G19" t="e">
        <f>AND(#REF!,"AAAAACqvfAY=")</f>
        <v>#REF!</v>
      </c>
      <c r="H19" t="e">
        <f>AND(#REF!,"AAAAACqvfAc=")</f>
        <v>#REF!</v>
      </c>
      <c r="I19" t="e">
        <f>AND(#REF!,"AAAAACqvfAg=")</f>
        <v>#REF!</v>
      </c>
      <c r="J19" t="e">
        <f>AND(#REF!,"AAAAACqvfAk=")</f>
        <v>#REF!</v>
      </c>
      <c r="K19" t="e">
        <f>AND(#REF!,"AAAAACqvfAo=")</f>
        <v>#REF!</v>
      </c>
      <c r="L19" t="e">
        <f>AND(#REF!,"AAAAACqvfAs=")</f>
        <v>#REF!</v>
      </c>
      <c r="M19" t="e">
        <f>AND(#REF!,"AAAAACqvfAw=")</f>
        <v>#REF!</v>
      </c>
      <c r="N19" t="e">
        <f>AND(#REF!,"AAAAACqvfA0=")</f>
        <v>#REF!</v>
      </c>
      <c r="O19" t="e">
        <f>AND(#REF!,"AAAAACqvfA4=")</f>
        <v>#REF!</v>
      </c>
      <c r="P19" t="e">
        <f>AND(#REF!,"AAAAACqvfA8=")</f>
        <v>#REF!</v>
      </c>
      <c r="Q19" t="e">
        <f>AND(#REF!,"AAAAACqvfBA=")</f>
        <v>#REF!</v>
      </c>
      <c r="R19" t="e">
        <f>IF(#REF!,"AAAAACqvfBE=",0)</f>
        <v>#REF!</v>
      </c>
      <c r="S19" t="e">
        <f>AND(#REF!,"AAAAACqvfBI=")</f>
        <v>#REF!</v>
      </c>
      <c r="T19" t="e">
        <f>AND(#REF!,"AAAAACqvfBM=")</f>
        <v>#REF!</v>
      </c>
      <c r="U19" t="e">
        <f>AND(#REF!,"AAAAACqvfBQ=")</f>
        <v>#REF!</v>
      </c>
      <c r="V19" t="e">
        <f>AND(#REF!,"AAAAACqvfBU=")</f>
        <v>#REF!</v>
      </c>
      <c r="W19" t="e">
        <f>AND(#REF!,"AAAAACqvfBY=")</f>
        <v>#REF!</v>
      </c>
      <c r="X19" t="e">
        <f>AND(#REF!,"AAAAACqvfBc=")</f>
        <v>#REF!</v>
      </c>
      <c r="Y19" t="e">
        <f>AND(#REF!,"AAAAACqvfBg=")</f>
        <v>#REF!</v>
      </c>
      <c r="Z19" t="e">
        <f>AND(#REF!,"AAAAACqvfBk=")</f>
        <v>#REF!</v>
      </c>
      <c r="AA19" t="e">
        <f>AND(#REF!,"AAAAACqvfBo=")</f>
        <v>#REF!</v>
      </c>
      <c r="AB19" t="e">
        <f>AND(#REF!,"AAAAACqvfBs=")</f>
        <v>#REF!</v>
      </c>
      <c r="AC19" t="e">
        <f>AND(#REF!,"AAAAACqvfBw=")</f>
        <v>#REF!</v>
      </c>
      <c r="AD19" t="e">
        <f>IF(#REF!,"AAAAACqvfB0=",0)</f>
        <v>#REF!</v>
      </c>
      <c r="AE19" t="e">
        <f>AND(#REF!,"AAAAACqvfB4=")</f>
        <v>#REF!</v>
      </c>
      <c r="AF19" t="e">
        <f>AND(#REF!,"AAAAACqvfB8=")</f>
        <v>#REF!</v>
      </c>
      <c r="AG19" t="e">
        <f>AND(#REF!,"AAAAACqvfCA=")</f>
        <v>#REF!</v>
      </c>
      <c r="AH19" t="e">
        <f>AND(#REF!,"AAAAACqvfCE=")</f>
        <v>#REF!</v>
      </c>
      <c r="AI19" t="e">
        <f>AND(#REF!,"AAAAACqvfCI=")</f>
        <v>#REF!</v>
      </c>
      <c r="AJ19" t="e">
        <f>AND(#REF!,"AAAAACqvfCM=")</f>
        <v>#REF!</v>
      </c>
      <c r="AK19" t="e">
        <f>AND(#REF!,"AAAAACqvfCQ=")</f>
        <v>#REF!</v>
      </c>
      <c r="AL19" t="e">
        <f>AND(#REF!,"AAAAACqvfCU=")</f>
        <v>#REF!</v>
      </c>
      <c r="AM19" t="e">
        <f>AND(#REF!,"AAAAACqvfCY=")</f>
        <v>#REF!</v>
      </c>
      <c r="AN19" t="e">
        <f>AND(#REF!,"AAAAACqvfCc=")</f>
        <v>#REF!</v>
      </c>
      <c r="AO19" t="e">
        <f>AND(#REF!,"AAAAACqvfCg=")</f>
        <v>#REF!</v>
      </c>
      <c r="AP19" t="e">
        <f>IF(#REF!,"AAAAACqvfCk=",0)</f>
        <v>#REF!</v>
      </c>
      <c r="AQ19" t="e">
        <f>AND(#REF!,"AAAAACqvfCo=")</f>
        <v>#REF!</v>
      </c>
      <c r="AR19" t="e">
        <f>AND(#REF!,"AAAAACqvfCs=")</f>
        <v>#REF!</v>
      </c>
      <c r="AS19" t="e">
        <f>AND(#REF!,"AAAAACqvfCw=")</f>
        <v>#REF!</v>
      </c>
      <c r="AT19" t="e">
        <f>AND(#REF!,"AAAAACqvfC0=")</f>
        <v>#REF!</v>
      </c>
      <c r="AU19" t="e">
        <f>AND(#REF!,"AAAAACqvfC4=")</f>
        <v>#REF!</v>
      </c>
      <c r="AV19" t="e">
        <f>AND(#REF!,"AAAAACqvfC8=")</f>
        <v>#REF!</v>
      </c>
      <c r="AW19" t="e">
        <f>AND(#REF!,"AAAAACqvfDA=")</f>
        <v>#REF!</v>
      </c>
      <c r="AX19" t="e">
        <f>AND(#REF!,"AAAAACqvfDE=")</f>
        <v>#REF!</v>
      </c>
      <c r="AY19" t="e">
        <f>AND(#REF!,"AAAAACqvfDI=")</f>
        <v>#REF!</v>
      </c>
      <c r="AZ19" t="e">
        <f>AND(#REF!,"AAAAACqvfDM=")</f>
        <v>#REF!</v>
      </c>
      <c r="BA19" t="e">
        <f>AND(#REF!,"AAAAACqvfDQ=")</f>
        <v>#REF!</v>
      </c>
      <c r="BB19" t="e">
        <f>IF(#REF!,"AAAAACqvfDU=",0)</f>
        <v>#REF!</v>
      </c>
      <c r="BC19" t="e">
        <f>AND(#REF!,"AAAAACqvfDY=")</f>
        <v>#REF!</v>
      </c>
      <c r="BD19" t="e">
        <f>AND(#REF!,"AAAAACqvfDc=")</f>
        <v>#REF!</v>
      </c>
      <c r="BE19" t="e">
        <f>AND(#REF!,"AAAAACqvfDg=")</f>
        <v>#REF!</v>
      </c>
      <c r="BF19" t="e">
        <f>AND(#REF!,"AAAAACqvfDk=")</f>
        <v>#REF!</v>
      </c>
      <c r="BG19" t="e">
        <f>AND(#REF!,"AAAAACqvfDo=")</f>
        <v>#REF!</v>
      </c>
      <c r="BH19" t="e">
        <f>AND(#REF!,"AAAAACqvfDs=")</f>
        <v>#REF!</v>
      </c>
      <c r="BI19" t="e">
        <f>AND(#REF!,"AAAAACqvfDw=")</f>
        <v>#REF!</v>
      </c>
      <c r="BJ19" t="e">
        <f>AND(#REF!,"AAAAACqvfD0=")</f>
        <v>#REF!</v>
      </c>
      <c r="BK19" t="e">
        <f>AND(#REF!,"AAAAACqvfD4=")</f>
        <v>#REF!</v>
      </c>
      <c r="BL19" t="e">
        <f>AND(#REF!,"AAAAACqvfD8=")</f>
        <v>#REF!</v>
      </c>
      <c r="BM19" t="e">
        <f>AND(#REF!,"AAAAACqvfEA=")</f>
        <v>#REF!</v>
      </c>
      <c r="BN19" t="e">
        <f>IF(#REF!,"AAAAACqvfEE=",0)</f>
        <v>#REF!</v>
      </c>
      <c r="BO19" t="e">
        <f>AND(#REF!,"AAAAACqvfEI=")</f>
        <v>#REF!</v>
      </c>
      <c r="BP19" t="e">
        <f>AND(#REF!,"AAAAACqvfEM=")</f>
        <v>#REF!</v>
      </c>
      <c r="BQ19" t="e">
        <f>AND(#REF!,"AAAAACqvfEQ=")</f>
        <v>#REF!</v>
      </c>
      <c r="BR19" t="e">
        <f>AND(#REF!,"AAAAACqvfEU=")</f>
        <v>#REF!</v>
      </c>
      <c r="BS19" t="e">
        <f>AND(#REF!,"AAAAACqvfEY=")</f>
        <v>#REF!</v>
      </c>
      <c r="BT19" t="e">
        <f>AND(#REF!,"AAAAACqvfEc=")</f>
        <v>#REF!</v>
      </c>
      <c r="BU19" t="e">
        <f>AND(#REF!,"AAAAACqvfEg=")</f>
        <v>#REF!</v>
      </c>
      <c r="BV19" t="e">
        <f>AND(#REF!,"AAAAACqvfEk=")</f>
        <v>#REF!</v>
      </c>
      <c r="BW19" t="e">
        <f>AND(#REF!,"AAAAACqvfEo=")</f>
        <v>#REF!</v>
      </c>
      <c r="BX19" t="e">
        <f>AND(#REF!,"AAAAACqvfEs=")</f>
        <v>#REF!</v>
      </c>
      <c r="BY19" t="e">
        <f>AND(#REF!,"AAAAACqvfEw=")</f>
        <v>#REF!</v>
      </c>
      <c r="BZ19" t="e">
        <f>IF(#REF!,"AAAAACqvfE0=",0)</f>
        <v>#REF!</v>
      </c>
      <c r="CA19" t="e">
        <f>AND(#REF!,"AAAAACqvfE4=")</f>
        <v>#REF!</v>
      </c>
      <c r="CB19" t="e">
        <f>AND(#REF!,"AAAAACqvfE8=")</f>
        <v>#REF!</v>
      </c>
      <c r="CC19" t="e">
        <f>AND(#REF!,"AAAAACqvfFA=")</f>
        <v>#REF!</v>
      </c>
      <c r="CD19" t="e">
        <f>AND(#REF!,"AAAAACqvfFE=")</f>
        <v>#REF!</v>
      </c>
      <c r="CE19" t="e">
        <f>AND(#REF!,"AAAAACqvfFI=")</f>
        <v>#REF!</v>
      </c>
      <c r="CF19" t="e">
        <f>AND(#REF!,"AAAAACqvfFM=")</f>
        <v>#REF!</v>
      </c>
      <c r="CG19" t="e">
        <f>AND(#REF!,"AAAAACqvfFQ=")</f>
        <v>#REF!</v>
      </c>
      <c r="CH19" t="e">
        <f>AND(#REF!,"AAAAACqvfFU=")</f>
        <v>#REF!</v>
      </c>
      <c r="CI19" t="e">
        <f>AND(#REF!,"AAAAACqvfFY=")</f>
        <v>#REF!</v>
      </c>
      <c r="CJ19" t="e">
        <f>AND(#REF!,"AAAAACqvfFc=")</f>
        <v>#REF!</v>
      </c>
      <c r="CK19" t="e">
        <f>AND(#REF!,"AAAAACqvfFg=")</f>
        <v>#REF!</v>
      </c>
      <c r="CL19" t="e">
        <f>IF(#REF!,"AAAAACqvfFk=",0)</f>
        <v>#REF!</v>
      </c>
      <c r="CM19" t="e">
        <f>AND(#REF!,"AAAAACqvfFo=")</f>
        <v>#REF!</v>
      </c>
      <c r="CN19" t="e">
        <f>AND(#REF!,"AAAAACqvfFs=")</f>
        <v>#REF!</v>
      </c>
      <c r="CO19" t="e">
        <f>AND(#REF!,"AAAAACqvfFw=")</f>
        <v>#REF!</v>
      </c>
      <c r="CP19" t="e">
        <f>AND(#REF!,"AAAAACqvfF0=")</f>
        <v>#REF!</v>
      </c>
      <c r="CQ19" t="e">
        <f>AND(#REF!,"AAAAACqvfF4=")</f>
        <v>#REF!</v>
      </c>
      <c r="CR19" t="e">
        <f>AND(#REF!,"AAAAACqvfF8=")</f>
        <v>#REF!</v>
      </c>
      <c r="CS19" t="e">
        <f>AND(#REF!,"AAAAACqvfGA=")</f>
        <v>#REF!</v>
      </c>
      <c r="CT19" t="e">
        <f>AND(#REF!,"AAAAACqvfGE=")</f>
        <v>#REF!</v>
      </c>
      <c r="CU19" t="e">
        <f>AND(#REF!,"AAAAACqvfGI=")</f>
        <v>#REF!</v>
      </c>
      <c r="CV19" t="e">
        <f>AND(#REF!,"AAAAACqvfGM=")</f>
        <v>#REF!</v>
      </c>
      <c r="CW19" t="e">
        <f>AND(#REF!,"AAAAACqvfGQ=")</f>
        <v>#REF!</v>
      </c>
      <c r="CX19" t="e">
        <f>IF(#REF!,"AAAAACqvfGU=",0)</f>
        <v>#REF!</v>
      </c>
      <c r="CY19" t="e">
        <f>AND(#REF!,"AAAAACqvfGY=")</f>
        <v>#REF!</v>
      </c>
      <c r="CZ19" t="e">
        <f>AND(#REF!,"AAAAACqvfGc=")</f>
        <v>#REF!</v>
      </c>
      <c r="DA19" t="e">
        <f>AND(#REF!,"AAAAACqvfGg=")</f>
        <v>#REF!</v>
      </c>
      <c r="DB19" t="e">
        <f>AND(#REF!,"AAAAACqvfGk=")</f>
        <v>#REF!</v>
      </c>
      <c r="DC19" t="e">
        <f>AND(#REF!,"AAAAACqvfGo=")</f>
        <v>#REF!</v>
      </c>
      <c r="DD19" t="e">
        <f>AND(#REF!,"AAAAACqvfGs=")</f>
        <v>#REF!</v>
      </c>
      <c r="DE19" t="e">
        <f>AND(#REF!,"AAAAACqvfGw=")</f>
        <v>#REF!</v>
      </c>
      <c r="DF19" t="e">
        <f>AND(#REF!,"AAAAACqvfG0=")</f>
        <v>#REF!</v>
      </c>
      <c r="DG19" t="e">
        <f>AND(#REF!,"AAAAACqvfG4=")</f>
        <v>#REF!</v>
      </c>
      <c r="DH19" t="e">
        <f>AND(#REF!,"AAAAACqvfG8=")</f>
        <v>#REF!</v>
      </c>
      <c r="DI19" t="e">
        <f>AND(#REF!,"AAAAACqvfHA=")</f>
        <v>#REF!</v>
      </c>
      <c r="DJ19" t="e">
        <f>IF(#REF!,"AAAAACqvfHE=",0)</f>
        <v>#REF!</v>
      </c>
      <c r="DK19" t="e">
        <f>AND(#REF!,"AAAAACqvfHI=")</f>
        <v>#REF!</v>
      </c>
      <c r="DL19" t="e">
        <f>AND(#REF!,"AAAAACqvfHM=")</f>
        <v>#REF!</v>
      </c>
      <c r="DM19" t="e">
        <f>AND(#REF!,"AAAAACqvfHQ=")</f>
        <v>#REF!</v>
      </c>
      <c r="DN19" t="e">
        <f>AND(#REF!,"AAAAACqvfHU=")</f>
        <v>#REF!</v>
      </c>
      <c r="DO19" t="e">
        <f>AND(#REF!,"AAAAACqvfHY=")</f>
        <v>#REF!</v>
      </c>
      <c r="DP19" t="e">
        <f>AND(#REF!,"AAAAACqvfHc=")</f>
        <v>#REF!</v>
      </c>
      <c r="DQ19" t="e">
        <f>AND(#REF!,"AAAAACqvfHg=")</f>
        <v>#REF!</v>
      </c>
      <c r="DR19" t="e">
        <f>AND(#REF!,"AAAAACqvfHk=")</f>
        <v>#REF!</v>
      </c>
      <c r="DS19" t="e">
        <f>AND(#REF!,"AAAAACqvfHo=")</f>
        <v>#REF!</v>
      </c>
      <c r="DT19" t="e">
        <f>AND(#REF!,"AAAAACqvfHs=")</f>
        <v>#REF!</v>
      </c>
      <c r="DU19" t="e">
        <f>AND(#REF!,"AAAAACqvfHw=")</f>
        <v>#REF!</v>
      </c>
      <c r="DV19" t="e">
        <f>IF(#REF!,"AAAAACqvfH0=",0)</f>
        <v>#REF!</v>
      </c>
      <c r="DW19" t="e">
        <f>AND(#REF!,"AAAAACqvfH4=")</f>
        <v>#REF!</v>
      </c>
      <c r="DX19" t="e">
        <f>AND(#REF!,"AAAAACqvfH8=")</f>
        <v>#REF!</v>
      </c>
      <c r="DY19" t="e">
        <f>AND(#REF!,"AAAAACqvfIA=")</f>
        <v>#REF!</v>
      </c>
      <c r="DZ19" t="e">
        <f>AND(#REF!,"AAAAACqvfIE=")</f>
        <v>#REF!</v>
      </c>
      <c r="EA19" t="e">
        <f>AND(#REF!,"AAAAACqvfII=")</f>
        <v>#REF!</v>
      </c>
      <c r="EB19" t="e">
        <f>AND(#REF!,"AAAAACqvfIM=")</f>
        <v>#REF!</v>
      </c>
      <c r="EC19" t="e">
        <f>AND(#REF!,"AAAAACqvfIQ=")</f>
        <v>#REF!</v>
      </c>
      <c r="ED19" t="e">
        <f>AND(#REF!,"AAAAACqvfIU=")</f>
        <v>#REF!</v>
      </c>
      <c r="EE19" t="e">
        <f>AND(#REF!,"AAAAACqvfIY=")</f>
        <v>#REF!</v>
      </c>
      <c r="EF19" t="e">
        <f>AND(#REF!,"AAAAACqvfIc=")</f>
        <v>#REF!</v>
      </c>
      <c r="EG19" t="e">
        <f>AND(#REF!,"AAAAACqvfIg=")</f>
        <v>#REF!</v>
      </c>
      <c r="EH19" t="e">
        <f>IF(#REF!,"AAAAACqvfIk=",0)</f>
        <v>#REF!</v>
      </c>
      <c r="EI19" t="e">
        <f>AND(#REF!,"AAAAACqvfIo=")</f>
        <v>#REF!</v>
      </c>
      <c r="EJ19" t="e">
        <f>AND(#REF!,"AAAAACqvfIs=")</f>
        <v>#REF!</v>
      </c>
      <c r="EK19" t="e">
        <f>AND(#REF!,"AAAAACqvfIw=")</f>
        <v>#REF!</v>
      </c>
      <c r="EL19" t="e">
        <f>AND(#REF!,"AAAAACqvfI0=")</f>
        <v>#REF!</v>
      </c>
      <c r="EM19" t="e">
        <f>AND(#REF!,"AAAAACqvfI4=")</f>
        <v>#REF!</v>
      </c>
      <c r="EN19" t="e">
        <f>AND(#REF!,"AAAAACqvfI8=")</f>
        <v>#REF!</v>
      </c>
      <c r="EO19" t="e">
        <f>AND(#REF!,"AAAAACqvfJA=")</f>
        <v>#REF!</v>
      </c>
      <c r="EP19" t="e">
        <f>AND(#REF!,"AAAAACqvfJE=")</f>
        <v>#REF!</v>
      </c>
      <c r="EQ19" t="e">
        <f>AND(#REF!,"AAAAACqvfJI=")</f>
        <v>#REF!</v>
      </c>
      <c r="ER19" t="e">
        <f>AND(#REF!,"AAAAACqvfJM=")</f>
        <v>#REF!</v>
      </c>
      <c r="ES19" t="e">
        <f>AND(#REF!,"AAAAACqvfJQ=")</f>
        <v>#REF!</v>
      </c>
      <c r="ET19" t="e">
        <f>IF(#REF!,"AAAAACqvfJU=",0)</f>
        <v>#REF!</v>
      </c>
      <c r="EU19" t="e">
        <f>AND(#REF!,"AAAAACqvfJY=")</f>
        <v>#REF!</v>
      </c>
      <c r="EV19" t="e">
        <f>AND(#REF!,"AAAAACqvfJc=")</f>
        <v>#REF!</v>
      </c>
      <c r="EW19" t="e">
        <f>AND(#REF!,"AAAAACqvfJg=")</f>
        <v>#REF!</v>
      </c>
      <c r="EX19" t="e">
        <f>AND(#REF!,"AAAAACqvfJk=")</f>
        <v>#REF!</v>
      </c>
      <c r="EY19" t="e">
        <f>AND(#REF!,"AAAAACqvfJo=")</f>
        <v>#REF!</v>
      </c>
      <c r="EZ19" t="e">
        <f>AND(#REF!,"AAAAACqvfJs=")</f>
        <v>#REF!</v>
      </c>
      <c r="FA19" t="e">
        <f>AND(#REF!,"AAAAACqvfJw=")</f>
        <v>#REF!</v>
      </c>
      <c r="FB19" t="e">
        <f>AND(#REF!,"AAAAACqvfJ0=")</f>
        <v>#REF!</v>
      </c>
      <c r="FC19" t="e">
        <f>AND(#REF!,"AAAAACqvfJ4=")</f>
        <v>#REF!</v>
      </c>
      <c r="FD19" t="e">
        <f>AND(#REF!,"AAAAACqvfJ8=")</f>
        <v>#REF!</v>
      </c>
      <c r="FE19" t="e">
        <f>AND(#REF!,"AAAAACqvfKA=")</f>
        <v>#REF!</v>
      </c>
      <c r="FF19" t="e">
        <f>IF(#REF!,"AAAAACqvfKE=",0)</f>
        <v>#REF!</v>
      </c>
      <c r="FG19" t="e">
        <f>IF(#REF!,"AAAAACqvfKI=",0)</f>
        <v>#REF!</v>
      </c>
      <c r="FH19" t="e">
        <f>IF(#REF!,"AAAAACqvfKM=",0)</f>
        <v>#REF!</v>
      </c>
      <c r="FI19" t="e">
        <f>IF(#REF!,"AAAAACqvfKQ=",0)</f>
        <v>#REF!</v>
      </c>
      <c r="FJ19" t="e">
        <f>IF(#REF!,"AAAAACqvfKU=",0)</f>
        <v>#REF!</v>
      </c>
      <c r="FK19" t="e">
        <f>IF(#REF!,"AAAAACqvfKY=",0)</f>
        <v>#REF!</v>
      </c>
      <c r="FL19" t="e">
        <f>IF(#REF!,"AAAAACqvfKc=",0)</f>
        <v>#REF!</v>
      </c>
      <c r="FM19" t="e">
        <f>IF(#REF!,"AAAAACqvfKg=",0)</f>
        <v>#REF!</v>
      </c>
      <c r="FN19" t="e">
        <f>IF(#REF!,"AAAAACqvfKk=",0)</f>
        <v>#REF!</v>
      </c>
      <c r="FO19" t="e">
        <f>IF(#REF!,"AAAAACqvfKo=",0)</f>
        <v>#REF!</v>
      </c>
      <c r="FP19" t="e">
        <f>IF(#REF!,"AAAAACqvfKs=",0)</f>
        <v>#REF!</v>
      </c>
      <c r="FQ19" t="e">
        <f>IF(#REF!,"AAAAACqvfKw=",0)</f>
        <v>#REF!</v>
      </c>
      <c r="FR19" t="e">
        <f>IF(#REF!,"AAAAACqvfK0=",0)</f>
        <v>#REF!</v>
      </c>
      <c r="FS19" t="e">
        <f>IF(#REF!,"AAAAACqvfK4=",0)</f>
        <v>#REF!</v>
      </c>
      <c r="FT19" t="e">
        <f>IF(#REF!,"AAAAACqvfK8=",0)</f>
        <v>#REF!</v>
      </c>
      <c r="FU19" t="e">
        <f>AND(#REF!,"AAAAACqvfLA=")</f>
        <v>#REF!</v>
      </c>
      <c r="FV19" t="e">
        <f>AND(#REF!,"AAAAACqvfLE=")</f>
        <v>#REF!</v>
      </c>
      <c r="FW19" t="e">
        <f>AND(#REF!,"AAAAACqvfLI=")</f>
        <v>#REF!</v>
      </c>
      <c r="FX19" t="e">
        <f>AND(#REF!,"AAAAACqvfLM=")</f>
        <v>#REF!</v>
      </c>
      <c r="FY19" t="e">
        <f>AND(#REF!,"AAAAACqvfLQ=")</f>
        <v>#REF!</v>
      </c>
      <c r="FZ19" t="e">
        <f>AND(#REF!,"AAAAACqvfLU=")</f>
        <v>#REF!</v>
      </c>
      <c r="GA19" t="e">
        <f>AND(#REF!,"AAAAACqvfLY=")</f>
        <v>#REF!</v>
      </c>
      <c r="GB19" t="e">
        <f>AND(#REF!,"AAAAACqvfLc=")</f>
        <v>#REF!</v>
      </c>
      <c r="GC19" t="e">
        <f>AND(#REF!,"AAAAACqvfLg=")</f>
        <v>#REF!</v>
      </c>
      <c r="GD19" t="e">
        <f>AND(#REF!,"AAAAACqvfLk=")</f>
        <v>#REF!</v>
      </c>
      <c r="GE19" t="e">
        <f>AND(#REF!,"AAAAACqvfLo=")</f>
        <v>#REF!</v>
      </c>
      <c r="GF19" t="e">
        <f>IF(#REF!,"AAAAACqvfLs=",0)</f>
        <v>#REF!</v>
      </c>
      <c r="GG19" t="e">
        <f>AND(#REF!,"AAAAACqvfLw=")</f>
        <v>#REF!</v>
      </c>
      <c r="GH19" t="e">
        <f>AND(#REF!,"AAAAACqvfL0=")</f>
        <v>#REF!</v>
      </c>
      <c r="GI19" t="e">
        <f>AND(#REF!,"AAAAACqvfL4=")</f>
        <v>#REF!</v>
      </c>
      <c r="GJ19" t="e">
        <f>AND(#REF!,"AAAAACqvfL8=")</f>
        <v>#REF!</v>
      </c>
      <c r="GK19" t="e">
        <f>AND(#REF!,"AAAAACqvfMA=")</f>
        <v>#REF!</v>
      </c>
      <c r="GL19" t="e">
        <f>AND(#REF!,"AAAAACqvfME=")</f>
        <v>#REF!</v>
      </c>
      <c r="GM19" t="e">
        <f>AND(#REF!,"AAAAACqvfMI=")</f>
        <v>#REF!</v>
      </c>
      <c r="GN19" t="e">
        <f>AND(#REF!,"AAAAACqvfMM=")</f>
        <v>#REF!</v>
      </c>
      <c r="GO19" t="e">
        <f>AND(#REF!,"AAAAACqvfMQ=")</f>
        <v>#REF!</v>
      </c>
      <c r="GP19" t="e">
        <f>AND(#REF!,"AAAAACqvfMU=")</f>
        <v>#REF!</v>
      </c>
      <c r="GQ19" t="e">
        <f>AND(#REF!,"AAAAACqvfMY=")</f>
        <v>#REF!</v>
      </c>
      <c r="GR19" t="e">
        <f>IF(#REF!,"AAAAACqvfMc=",0)</f>
        <v>#REF!</v>
      </c>
      <c r="GS19" t="e">
        <f>AND(#REF!,"AAAAACqvfMg=")</f>
        <v>#REF!</v>
      </c>
      <c r="GT19" t="e">
        <f>AND(#REF!,"AAAAACqvfMk=")</f>
        <v>#REF!</v>
      </c>
      <c r="GU19" t="e">
        <f>AND(#REF!,"AAAAACqvfMo=")</f>
        <v>#REF!</v>
      </c>
      <c r="GV19" t="e">
        <f>AND(#REF!,"AAAAACqvfMs=")</f>
        <v>#REF!</v>
      </c>
      <c r="GW19" t="e">
        <f>AND(#REF!,"AAAAACqvfMw=")</f>
        <v>#REF!</v>
      </c>
      <c r="GX19" t="e">
        <f>AND(#REF!,"AAAAACqvfM0=")</f>
        <v>#REF!</v>
      </c>
      <c r="GY19" t="e">
        <f>AND(#REF!,"AAAAACqvfM4=")</f>
        <v>#REF!</v>
      </c>
      <c r="GZ19" t="e">
        <f>AND(#REF!,"AAAAACqvfM8=")</f>
        <v>#REF!</v>
      </c>
      <c r="HA19" t="e">
        <f>AND(#REF!,"AAAAACqvfNA=")</f>
        <v>#REF!</v>
      </c>
      <c r="HB19" t="e">
        <f>AND(#REF!,"AAAAACqvfNE=")</f>
        <v>#REF!</v>
      </c>
      <c r="HC19" t="e">
        <f>AND(#REF!,"AAAAACqvfNI=")</f>
        <v>#REF!</v>
      </c>
      <c r="HD19" t="e">
        <f>IF(#REF!,"AAAAACqvfNM=",0)</f>
        <v>#REF!</v>
      </c>
      <c r="HE19" t="e">
        <f>AND(#REF!,"AAAAACqvfNQ=")</f>
        <v>#REF!</v>
      </c>
      <c r="HF19" t="e">
        <f>AND(#REF!,"AAAAACqvfNU=")</f>
        <v>#REF!</v>
      </c>
      <c r="HG19" t="e">
        <f>AND(#REF!,"AAAAACqvfNY=")</f>
        <v>#REF!</v>
      </c>
      <c r="HH19" t="e">
        <f>AND(#REF!,"AAAAACqvfNc=")</f>
        <v>#REF!</v>
      </c>
      <c r="HI19" t="e">
        <f>AND(#REF!,"AAAAACqvfNg=")</f>
        <v>#REF!</v>
      </c>
      <c r="HJ19" t="e">
        <f>AND(#REF!,"AAAAACqvfNk=")</f>
        <v>#REF!</v>
      </c>
      <c r="HK19" t="e">
        <f>AND(#REF!,"AAAAACqvfNo=")</f>
        <v>#REF!</v>
      </c>
      <c r="HL19" t="e">
        <f>AND(#REF!,"AAAAACqvfNs=")</f>
        <v>#REF!</v>
      </c>
      <c r="HM19" t="e">
        <f>AND(#REF!,"AAAAACqvfNw=")</f>
        <v>#REF!</v>
      </c>
      <c r="HN19" t="e">
        <f>AND(#REF!,"AAAAACqvfN0=")</f>
        <v>#REF!</v>
      </c>
      <c r="HO19" t="e">
        <f>AND(#REF!,"AAAAACqvfN4=")</f>
        <v>#REF!</v>
      </c>
      <c r="HP19" t="e">
        <f>IF(#REF!,"AAAAACqvfN8=",0)</f>
        <v>#REF!</v>
      </c>
      <c r="HQ19" t="e">
        <f>AND(#REF!,"AAAAACqvfOA=")</f>
        <v>#REF!</v>
      </c>
      <c r="HR19" t="e">
        <f>AND(#REF!,"AAAAACqvfOE=")</f>
        <v>#REF!</v>
      </c>
      <c r="HS19" t="e">
        <f>AND(#REF!,"AAAAACqvfOI=")</f>
        <v>#REF!</v>
      </c>
      <c r="HT19" t="e">
        <f>AND(#REF!,"AAAAACqvfOM=")</f>
        <v>#REF!</v>
      </c>
      <c r="HU19" t="e">
        <f>AND(#REF!,"AAAAACqvfOQ=")</f>
        <v>#REF!</v>
      </c>
      <c r="HV19" t="e">
        <f>AND(#REF!,"AAAAACqvfOU=")</f>
        <v>#REF!</v>
      </c>
      <c r="HW19" t="e">
        <f>AND(#REF!,"AAAAACqvfOY=")</f>
        <v>#REF!</v>
      </c>
      <c r="HX19" t="e">
        <f>AND(#REF!,"AAAAACqvfOc=")</f>
        <v>#REF!</v>
      </c>
      <c r="HY19" t="e">
        <f>AND(#REF!,"AAAAACqvfOg=")</f>
        <v>#REF!</v>
      </c>
      <c r="HZ19" t="e">
        <f>AND(#REF!,"AAAAACqvfOk=")</f>
        <v>#REF!</v>
      </c>
      <c r="IA19" t="e">
        <f>AND(#REF!,"AAAAACqvfOo=")</f>
        <v>#REF!</v>
      </c>
      <c r="IB19" t="e">
        <f>IF(#REF!,"AAAAACqvfOs=",0)</f>
        <v>#REF!</v>
      </c>
      <c r="IC19" t="e">
        <f>AND(#REF!,"AAAAACqvfOw=")</f>
        <v>#REF!</v>
      </c>
      <c r="ID19" t="e">
        <f>AND(#REF!,"AAAAACqvfO0=")</f>
        <v>#REF!</v>
      </c>
      <c r="IE19" t="e">
        <f>AND(#REF!,"AAAAACqvfO4=")</f>
        <v>#REF!</v>
      </c>
      <c r="IF19" t="e">
        <f>AND(#REF!,"AAAAACqvfO8=")</f>
        <v>#REF!</v>
      </c>
      <c r="IG19" t="e">
        <f>AND(#REF!,"AAAAACqvfPA=")</f>
        <v>#REF!</v>
      </c>
      <c r="IH19" t="e">
        <f>AND(#REF!,"AAAAACqvfPE=")</f>
        <v>#REF!</v>
      </c>
      <c r="II19" t="e">
        <f>AND(#REF!,"AAAAACqvfPI=")</f>
        <v>#REF!</v>
      </c>
      <c r="IJ19" t="e">
        <f>AND(#REF!,"AAAAACqvfPM=")</f>
        <v>#REF!</v>
      </c>
      <c r="IK19" t="e">
        <f>AND(#REF!,"AAAAACqvfPQ=")</f>
        <v>#REF!</v>
      </c>
      <c r="IL19" t="e">
        <f>AND(#REF!,"AAAAACqvfPU=")</f>
        <v>#REF!</v>
      </c>
      <c r="IM19" t="e">
        <f>AND(#REF!,"AAAAACqvfPY=")</f>
        <v>#REF!</v>
      </c>
      <c r="IN19" t="e">
        <f>IF(#REF!,"AAAAACqvfPc=",0)</f>
        <v>#REF!</v>
      </c>
      <c r="IO19" t="e">
        <f>AND(#REF!,"AAAAACqvfPg=")</f>
        <v>#REF!</v>
      </c>
      <c r="IP19" t="e">
        <f>AND(#REF!,"AAAAACqvfPk=")</f>
        <v>#REF!</v>
      </c>
      <c r="IQ19" t="e">
        <f>AND(#REF!,"AAAAACqvfPo=")</f>
        <v>#REF!</v>
      </c>
      <c r="IR19" t="e">
        <f>AND(#REF!,"AAAAACqvfPs=")</f>
        <v>#REF!</v>
      </c>
      <c r="IS19" t="e">
        <f>AND(#REF!,"AAAAACqvfPw=")</f>
        <v>#REF!</v>
      </c>
      <c r="IT19" t="e">
        <f>AND(#REF!,"AAAAACqvfP0=")</f>
        <v>#REF!</v>
      </c>
      <c r="IU19" t="e">
        <f>AND(#REF!,"AAAAACqvfP4=")</f>
        <v>#REF!</v>
      </c>
      <c r="IV19" t="e">
        <f>AND(#REF!,"AAAAACqvfP8=")</f>
        <v>#REF!</v>
      </c>
    </row>
    <row r="20" spans="1:256" ht="15">
      <c r="A20" t="e">
        <f>AND(#REF!,"AAAAAHX54gA=")</f>
        <v>#REF!</v>
      </c>
      <c r="B20" t="e">
        <f>AND(#REF!,"AAAAAHX54gE=")</f>
        <v>#REF!</v>
      </c>
      <c r="C20" t="e">
        <f>AND(#REF!,"AAAAAHX54gI=")</f>
        <v>#REF!</v>
      </c>
      <c r="D20" t="e">
        <f>IF(#REF!,"AAAAAHX54gM=",0)</f>
        <v>#REF!</v>
      </c>
      <c r="E20" t="e">
        <f>AND(#REF!,"AAAAAHX54gQ=")</f>
        <v>#REF!</v>
      </c>
      <c r="F20" t="e">
        <f>AND(#REF!,"AAAAAHX54gU=")</f>
        <v>#REF!</v>
      </c>
      <c r="G20" t="e">
        <f>AND(#REF!,"AAAAAHX54gY=")</f>
        <v>#REF!</v>
      </c>
      <c r="H20" t="e">
        <f>AND(#REF!,"AAAAAHX54gc=")</f>
        <v>#REF!</v>
      </c>
      <c r="I20" t="e">
        <f>AND(#REF!,"AAAAAHX54gg=")</f>
        <v>#REF!</v>
      </c>
      <c r="J20" t="e">
        <f>AND(#REF!,"AAAAAHX54gk=")</f>
        <v>#REF!</v>
      </c>
      <c r="K20" t="e">
        <f>AND(#REF!,"AAAAAHX54go=")</f>
        <v>#REF!</v>
      </c>
      <c r="L20" t="e">
        <f>AND(#REF!,"AAAAAHX54gs=")</f>
        <v>#REF!</v>
      </c>
      <c r="M20" t="e">
        <f>AND(#REF!,"AAAAAHX54gw=")</f>
        <v>#REF!</v>
      </c>
      <c r="N20" t="e">
        <f>AND(#REF!,"AAAAAHX54g0=")</f>
        <v>#REF!</v>
      </c>
      <c r="O20" t="e">
        <f>AND(#REF!,"AAAAAHX54g4=")</f>
        <v>#REF!</v>
      </c>
      <c r="P20" t="e">
        <f>IF(#REF!,"AAAAAHX54g8=",0)</f>
        <v>#REF!</v>
      </c>
      <c r="Q20" t="e">
        <f>AND(#REF!,"AAAAAHX54hA=")</f>
        <v>#REF!</v>
      </c>
      <c r="R20" t="e">
        <f>AND(#REF!,"AAAAAHX54hE=")</f>
        <v>#REF!</v>
      </c>
      <c r="S20" t="e">
        <f>AND(#REF!,"AAAAAHX54hI=")</f>
        <v>#REF!</v>
      </c>
      <c r="T20" t="e">
        <f>AND(#REF!,"AAAAAHX54hM=")</f>
        <v>#REF!</v>
      </c>
      <c r="U20" t="e">
        <f>AND(#REF!,"AAAAAHX54hQ=")</f>
        <v>#REF!</v>
      </c>
      <c r="V20" t="e">
        <f>AND(#REF!,"AAAAAHX54hU=")</f>
        <v>#REF!</v>
      </c>
      <c r="W20" t="e">
        <f>AND(#REF!,"AAAAAHX54hY=")</f>
        <v>#REF!</v>
      </c>
      <c r="X20" t="e">
        <f>AND(#REF!,"AAAAAHX54hc=")</f>
        <v>#REF!</v>
      </c>
      <c r="Y20" t="e">
        <f>AND(#REF!,"AAAAAHX54hg=")</f>
        <v>#REF!</v>
      </c>
      <c r="Z20" t="e">
        <f>AND(#REF!,"AAAAAHX54hk=")</f>
        <v>#REF!</v>
      </c>
      <c r="AA20" t="e">
        <f>AND(#REF!,"AAAAAHX54ho=")</f>
        <v>#REF!</v>
      </c>
      <c r="AB20" t="e">
        <f>IF(#REF!,"AAAAAHX54hs=",0)</f>
        <v>#REF!</v>
      </c>
      <c r="AC20" t="e">
        <f>AND(#REF!,"AAAAAHX54hw=")</f>
        <v>#REF!</v>
      </c>
      <c r="AD20" t="e">
        <f>AND(#REF!,"AAAAAHX54h0=")</f>
        <v>#REF!</v>
      </c>
      <c r="AE20" t="e">
        <f>AND(#REF!,"AAAAAHX54h4=")</f>
        <v>#REF!</v>
      </c>
      <c r="AF20" t="e">
        <f>AND(#REF!,"AAAAAHX54h8=")</f>
        <v>#REF!</v>
      </c>
      <c r="AG20" t="e">
        <f>AND(#REF!,"AAAAAHX54iA=")</f>
        <v>#REF!</v>
      </c>
      <c r="AH20" t="e">
        <f>AND(#REF!,"AAAAAHX54iE=")</f>
        <v>#REF!</v>
      </c>
      <c r="AI20" t="e">
        <f>AND(#REF!,"AAAAAHX54iI=")</f>
        <v>#REF!</v>
      </c>
      <c r="AJ20" t="e">
        <f>AND(#REF!,"AAAAAHX54iM=")</f>
        <v>#REF!</v>
      </c>
      <c r="AK20" t="e">
        <f>AND(#REF!,"AAAAAHX54iQ=")</f>
        <v>#REF!</v>
      </c>
      <c r="AL20" t="e">
        <f>AND(#REF!,"AAAAAHX54iU=")</f>
        <v>#REF!</v>
      </c>
      <c r="AM20" t="e">
        <f>AND(#REF!,"AAAAAHX54iY=")</f>
        <v>#REF!</v>
      </c>
      <c r="AN20" t="e">
        <f>IF(#REF!,"AAAAAHX54ic=",0)</f>
        <v>#REF!</v>
      </c>
      <c r="AO20" t="e">
        <f>AND(#REF!,"AAAAAHX54ig=")</f>
        <v>#REF!</v>
      </c>
      <c r="AP20" t="e">
        <f>AND(#REF!,"AAAAAHX54ik=")</f>
        <v>#REF!</v>
      </c>
      <c r="AQ20" t="e">
        <f>AND(#REF!,"AAAAAHX54io=")</f>
        <v>#REF!</v>
      </c>
      <c r="AR20" t="e">
        <f>AND(#REF!,"AAAAAHX54is=")</f>
        <v>#REF!</v>
      </c>
      <c r="AS20" t="e">
        <f>AND(#REF!,"AAAAAHX54iw=")</f>
        <v>#REF!</v>
      </c>
      <c r="AT20" t="e">
        <f>AND(#REF!,"AAAAAHX54i0=")</f>
        <v>#REF!</v>
      </c>
      <c r="AU20" t="e">
        <f>AND(#REF!,"AAAAAHX54i4=")</f>
        <v>#REF!</v>
      </c>
      <c r="AV20" t="e">
        <f>AND(#REF!,"AAAAAHX54i8=")</f>
        <v>#REF!</v>
      </c>
      <c r="AW20" t="e">
        <f>AND(#REF!,"AAAAAHX54jA=")</f>
        <v>#REF!</v>
      </c>
      <c r="AX20" t="e">
        <f>AND(#REF!,"AAAAAHX54jE=")</f>
        <v>#REF!</v>
      </c>
      <c r="AY20" t="e">
        <f>AND(#REF!,"AAAAAHX54jI=")</f>
        <v>#REF!</v>
      </c>
      <c r="AZ20" t="e">
        <f>IF(#REF!,"AAAAAHX54jM=",0)</f>
        <v>#REF!</v>
      </c>
      <c r="BA20" t="e">
        <f>AND(#REF!,"AAAAAHX54jQ=")</f>
        <v>#REF!</v>
      </c>
      <c r="BB20" t="e">
        <f>AND(#REF!,"AAAAAHX54jU=")</f>
        <v>#REF!</v>
      </c>
      <c r="BC20" t="e">
        <f>AND(#REF!,"AAAAAHX54jY=")</f>
        <v>#REF!</v>
      </c>
      <c r="BD20" t="e">
        <f>AND(#REF!,"AAAAAHX54jc=")</f>
        <v>#REF!</v>
      </c>
      <c r="BE20" t="e">
        <f>AND(#REF!,"AAAAAHX54jg=")</f>
        <v>#REF!</v>
      </c>
      <c r="BF20" t="e">
        <f>AND(#REF!,"AAAAAHX54jk=")</f>
        <v>#REF!</v>
      </c>
      <c r="BG20" t="e">
        <f>AND(#REF!,"AAAAAHX54jo=")</f>
        <v>#REF!</v>
      </c>
      <c r="BH20" t="e">
        <f>AND(#REF!,"AAAAAHX54js=")</f>
        <v>#REF!</v>
      </c>
      <c r="BI20" t="e">
        <f>AND(#REF!,"AAAAAHX54jw=")</f>
        <v>#REF!</v>
      </c>
      <c r="BJ20" t="e">
        <f>AND(#REF!,"AAAAAHX54j0=")</f>
        <v>#REF!</v>
      </c>
      <c r="BK20" t="e">
        <f>AND(#REF!,"AAAAAHX54j4=")</f>
        <v>#REF!</v>
      </c>
      <c r="BL20" t="e">
        <f>IF(#REF!,"AAAAAHX54j8=",0)</f>
        <v>#REF!</v>
      </c>
      <c r="BM20" t="e">
        <f>AND(#REF!,"AAAAAHX54kA=")</f>
        <v>#REF!</v>
      </c>
      <c r="BN20" t="e">
        <f>AND(#REF!,"AAAAAHX54kE=")</f>
        <v>#REF!</v>
      </c>
      <c r="BO20" t="e">
        <f>AND(#REF!,"AAAAAHX54kI=")</f>
        <v>#REF!</v>
      </c>
      <c r="BP20" t="e">
        <f>AND(#REF!,"AAAAAHX54kM=")</f>
        <v>#REF!</v>
      </c>
      <c r="BQ20" t="e">
        <f>AND(#REF!,"AAAAAHX54kQ=")</f>
        <v>#REF!</v>
      </c>
      <c r="BR20" t="e">
        <f>AND(#REF!,"AAAAAHX54kU=")</f>
        <v>#REF!</v>
      </c>
      <c r="BS20" t="e">
        <f>AND(#REF!,"AAAAAHX54kY=")</f>
        <v>#REF!</v>
      </c>
      <c r="BT20" t="e">
        <f>AND(#REF!,"AAAAAHX54kc=")</f>
        <v>#REF!</v>
      </c>
      <c r="BU20" t="e">
        <f>AND(#REF!,"AAAAAHX54kg=")</f>
        <v>#REF!</v>
      </c>
      <c r="BV20" t="e">
        <f>AND(#REF!,"AAAAAHX54kk=")</f>
        <v>#REF!</v>
      </c>
      <c r="BW20" t="e">
        <f>AND(#REF!,"AAAAAHX54ko=")</f>
        <v>#REF!</v>
      </c>
      <c r="BX20" t="e">
        <f>IF(#REF!,"AAAAAHX54ks=",0)</f>
        <v>#REF!</v>
      </c>
      <c r="BY20" t="e">
        <f>AND(#REF!,"AAAAAHX54kw=")</f>
        <v>#REF!</v>
      </c>
      <c r="BZ20" t="e">
        <f>AND(#REF!,"AAAAAHX54k0=")</f>
        <v>#REF!</v>
      </c>
      <c r="CA20" t="e">
        <f>AND(#REF!,"AAAAAHX54k4=")</f>
        <v>#REF!</v>
      </c>
      <c r="CB20" t="e">
        <f>AND(#REF!,"AAAAAHX54k8=")</f>
        <v>#REF!</v>
      </c>
      <c r="CC20" t="e">
        <f>AND(#REF!,"AAAAAHX54lA=")</f>
        <v>#REF!</v>
      </c>
      <c r="CD20" t="e">
        <f>AND(#REF!,"AAAAAHX54lE=")</f>
        <v>#REF!</v>
      </c>
      <c r="CE20" t="e">
        <f>AND(#REF!,"AAAAAHX54lI=")</f>
        <v>#REF!</v>
      </c>
      <c r="CF20" t="e">
        <f>AND(#REF!,"AAAAAHX54lM=")</f>
        <v>#REF!</v>
      </c>
      <c r="CG20" t="e">
        <f>AND(#REF!,"AAAAAHX54lQ=")</f>
        <v>#REF!</v>
      </c>
      <c r="CH20" t="e">
        <f>AND(#REF!,"AAAAAHX54lU=")</f>
        <v>#REF!</v>
      </c>
      <c r="CI20" t="e">
        <f>AND(#REF!,"AAAAAHX54lY=")</f>
        <v>#REF!</v>
      </c>
      <c r="CJ20" t="e">
        <f>IF(#REF!,"AAAAAHX54lc=",0)</f>
        <v>#REF!</v>
      </c>
      <c r="CK20" t="e">
        <f>AND(#REF!,"AAAAAHX54lg=")</f>
        <v>#REF!</v>
      </c>
      <c r="CL20" t="e">
        <f>AND(#REF!,"AAAAAHX54lk=")</f>
        <v>#REF!</v>
      </c>
      <c r="CM20" t="e">
        <f>AND(#REF!,"AAAAAHX54lo=")</f>
        <v>#REF!</v>
      </c>
      <c r="CN20" t="e">
        <f>AND(#REF!,"AAAAAHX54ls=")</f>
        <v>#REF!</v>
      </c>
      <c r="CO20" t="e">
        <f>AND(#REF!,"AAAAAHX54lw=")</f>
        <v>#REF!</v>
      </c>
      <c r="CP20" t="e">
        <f>AND(#REF!,"AAAAAHX54l0=")</f>
        <v>#REF!</v>
      </c>
      <c r="CQ20" t="e">
        <f>AND(#REF!,"AAAAAHX54l4=")</f>
        <v>#REF!</v>
      </c>
      <c r="CR20" t="e">
        <f>AND(#REF!,"AAAAAHX54l8=")</f>
        <v>#REF!</v>
      </c>
      <c r="CS20" t="e">
        <f>AND(#REF!,"AAAAAHX54mA=")</f>
        <v>#REF!</v>
      </c>
      <c r="CT20" t="e">
        <f>AND(#REF!,"AAAAAHX54mE=")</f>
        <v>#REF!</v>
      </c>
      <c r="CU20" t="e">
        <f>AND(#REF!,"AAAAAHX54mI=")</f>
        <v>#REF!</v>
      </c>
      <c r="CV20" t="e">
        <f>IF(#REF!,"AAAAAHX54mM=",0)</f>
        <v>#REF!</v>
      </c>
      <c r="CW20" t="e">
        <f>AND(#REF!,"AAAAAHX54mQ=")</f>
        <v>#REF!</v>
      </c>
      <c r="CX20" t="e">
        <f>AND(#REF!,"AAAAAHX54mU=")</f>
        <v>#REF!</v>
      </c>
      <c r="CY20" t="e">
        <f>AND(#REF!,"AAAAAHX54mY=")</f>
        <v>#REF!</v>
      </c>
      <c r="CZ20" t="e">
        <f>AND(#REF!,"AAAAAHX54mc=")</f>
        <v>#REF!</v>
      </c>
      <c r="DA20" t="e">
        <f>AND(#REF!,"AAAAAHX54mg=")</f>
        <v>#REF!</v>
      </c>
      <c r="DB20" t="e">
        <f>AND(#REF!,"AAAAAHX54mk=")</f>
        <v>#REF!</v>
      </c>
      <c r="DC20" t="e">
        <f>AND(#REF!,"AAAAAHX54mo=")</f>
        <v>#REF!</v>
      </c>
      <c r="DD20" t="e">
        <f>AND(#REF!,"AAAAAHX54ms=")</f>
        <v>#REF!</v>
      </c>
      <c r="DE20" t="e">
        <f>AND(#REF!,"AAAAAHX54mw=")</f>
        <v>#REF!</v>
      </c>
      <c r="DF20" t="e">
        <f>AND(#REF!,"AAAAAHX54m0=")</f>
        <v>#REF!</v>
      </c>
      <c r="DG20" t="e">
        <f>AND(#REF!,"AAAAAHX54m4=")</f>
        <v>#REF!</v>
      </c>
      <c r="DH20" t="e">
        <f>IF(#REF!,"AAAAAHX54m8=",0)</f>
        <v>#REF!</v>
      </c>
      <c r="DI20" t="e">
        <f>AND(#REF!,"AAAAAHX54nA=")</f>
        <v>#REF!</v>
      </c>
      <c r="DJ20" t="e">
        <f>AND(#REF!,"AAAAAHX54nE=")</f>
        <v>#REF!</v>
      </c>
      <c r="DK20" t="e">
        <f>AND(#REF!,"AAAAAHX54nI=")</f>
        <v>#REF!</v>
      </c>
      <c r="DL20" t="e">
        <f>AND(#REF!,"AAAAAHX54nM=")</f>
        <v>#REF!</v>
      </c>
      <c r="DM20" t="e">
        <f>AND(#REF!,"AAAAAHX54nQ=")</f>
        <v>#REF!</v>
      </c>
      <c r="DN20" t="e">
        <f>AND(#REF!,"AAAAAHX54nU=")</f>
        <v>#REF!</v>
      </c>
      <c r="DO20" t="e">
        <f>AND(#REF!,"AAAAAHX54nY=")</f>
        <v>#REF!</v>
      </c>
      <c r="DP20" t="e">
        <f>AND(#REF!,"AAAAAHX54nc=")</f>
        <v>#REF!</v>
      </c>
      <c r="DQ20" t="e">
        <f>AND(#REF!,"AAAAAHX54ng=")</f>
        <v>#REF!</v>
      </c>
      <c r="DR20" t="e">
        <f>AND(#REF!,"AAAAAHX54nk=")</f>
        <v>#REF!</v>
      </c>
      <c r="DS20" t="e">
        <f>AND(#REF!,"AAAAAHX54no=")</f>
        <v>#REF!</v>
      </c>
      <c r="DT20" t="e">
        <f>IF(#REF!,"AAAAAHX54ns=",0)</f>
        <v>#REF!</v>
      </c>
      <c r="DU20" t="e">
        <f>AND(#REF!,"AAAAAHX54nw=")</f>
        <v>#REF!</v>
      </c>
      <c r="DV20" t="e">
        <f>AND(#REF!,"AAAAAHX54n0=")</f>
        <v>#REF!</v>
      </c>
      <c r="DW20" t="e">
        <f>AND(#REF!,"AAAAAHX54n4=")</f>
        <v>#REF!</v>
      </c>
      <c r="DX20" t="e">
        <f>AND(#REF!,"AAAAAHX54n8=")</f>
        <v>#REF!</v>
      </c>
      <c r="DY20" t="e">
        <f>AND(#REF!,"AAAAAHX54oA=")</f>
        <v>#REF!</v>
      </c>
      <c r="DZ20" t="e">
        <f>AND(#REF!,"AAAAAHX54oE=")</f>
        <v>#REF!</v>
      </c>
      <c r="EA20" t="e">
        <f>AND(#REF!,"AAAAAHX54oI=")</f>
        <v>#REF!</v>
      </c>
      <c r="EB20" t="e">
        <f>AND(#REF!,"AAAAAHX54oM=")</f>
        <v>#REF!</v>
      </c>
      <c r="EC20" t="e">
        <f>AND(#REF!,"AAAAAHX54oQ=")</f>
        <v>#REF!</v>
      </c>
      <c r="ED20" t="e">
        <f>AND(#REF!,"AAAAAHX54oU=")</f>
        <v>#REF!</v>
      </c>
      <c r="EE20" t="e">
        <f>AND(#REF!,"AAAAAHX54oY=")</f>
        <v>#REF!</v>
      </c>
      <c r="EF20" t="e">
        <f>IF(#REF!,"AAAAAHX54oc=",0)</f>
        <v>#REF!</v>
      </c>
      <c r="EG20" t="e">
        <f>AND(#REF!,"AAAAAHX54og=")</f>
        <v>#REF!</v>
      </c>
      <c r="EH20" t="e">
        <f>AND(#REF!,"AAAAAHX54ok=")</f>
        <v>#REF!</v>
      </c>
      <c r="EI20" t="e">
        <f>AND(#REF!,"AAAAAHX54oo=")</f>
        <v>#REF!</v>
      </c>
      <c r="EJ20" t="e">
        <f>AND(#REF!,"AAAAAHX54os=")</f>
        <v>#REF!</v>
      </c>
      <c r="EK20" t="e">
        <f>AND(#REF!,"AAAAAHX54ow=")</f>
        <v>#REF!</v>
      </c>
      <c r="EL20" t="e">
        <f>AND(#REF!,"AAAAAHX54o0=")</f>
        <v>#REF!</v>
      </c>
      <c r="EM20" t="e">
        <f>AND(#REF!,"AAAAAHX54o4=")</f>
        <v>#REF!</v>
      </c>
      <c r="EN20" t="e">
        <f>AND(#REF!,"AAAAAHX54o8=")</f>
        <v>#REF!</v>
      </c>
      <c r="EO20" t="e">
        <f>AND(#REF!,"AAAAAHX54pA=")</f>
        <v>#REF!</v>
      </c>
      <c r="EP20" t="e">
        <f>AND(#REF!,"AAAAAHX54pE=")</f>
        <v>#REF!</v>
      </c>
      <c r="EQ20" t="e">
        <f>AND(#REF!,"AAAAAHX54pI=")</f>
        <v>#REF!</v>
      </c>
      <c r="ER20" t="e">
        <f>IF(#REF!,"AAAAAHX54pM=",0)</f>
        <v>#REF!</v>
      </c>
      <c r="ES20" t="e">
        <f>AND(#REF!,"AAAAAHX54pQ=")</f>
        <v>#REF!</v>
      </c>
      <c r="ET20" t="e">
        <f>AND(#REF!,"AAAAAHX54pU=")</f>
        <v>#REF!</v>
      </c>
      <c r="EU20" t="e">
        <f>AND(#REF!,"AAAAAHX54pY=")</f>
        <v>#REF!</v>
      </c>
      <c r="EV20" t="e">
        <f>AND(#REF!,"AAAAAHX54pc=")</f>
        <v>#REF!</v>
      </c>
      <c r="EW20" t="e">
        <f>AND(#REF!,"AAAAAHX54pg=")</f>
        <v>#REF!</v>
      </c>
      <c r="EX20" t="e">
        <f>AND(#REF!,"AAAAAHX54pk=")</f>
        <v>#REF!</v>
      </c>
      <c r="EY20" t="e">
        <f>AND(#REF!,"AAAAAHX54po=")</f>
        <v>#REF!</v>
      </c>
      <c r="EZ20" t="e">
        <f>AND(#REF!,"AAAAAHX54ps=")</f>
        <v>#REF!</v>
      </c>
      <c r="FA20" t="e">
        <f>AND(#REF!,"AAAAAHX54pw=")</f>
        <v>#REF!</v>
      </c>
      <c r="FB20" t="e">
        <f>AND(#REF!,"AAAAAHX54p0=")</f>
        <v>#REF!</v>
      </c>
      <c r="FC20" t="e">
        <f>AND(#REF!,"AAAAAHX54p4=")</f>
        <v>#REF!</v>
      </c>
      <c r="FD20" t="e">
        <f>IF(#REF!,"AAAAAHX54p8=",0)</f>
        <v>#REF!</v>
      </c>
      <c r="FE20" t="e">
        <f>AND(#REF!,"AAAAAHX54qA=")</f>
        <v>#REF!</v>
      </c>
      <c r="FF20" t="e">
        <f>AND(#REF!,"AAAAAHX54qE=")</f>
        <v>#REF!</v>
      </c>
      <c r="FG20" t="e">
        <f>AND(#REF!,"AAAAAHX54qI=")</f>
        <v>#REF!</v>
      </c>
      <c r="FH20" t="e">
        <f>AND(#REF!,"AAAAAHX54qM=")</f>
        <v>#REF!</v>
      </c>
      <c r="FI20" t="e">
        <f>AND(#REF!,"AAAAAHX54qQ=")</f>
        <v>#REF!</v>
      </c>
      <c r="FJ20" t="e">
        <f>AND(#REF!,"AAAAAHX54qU=")</f>
        <v>#REF!</v>
      </c>
      <c r="FK20" t="e">
        <f>AND(#REF!,"AAAAAHX54qY=")</f>
        <v>#REF!</v>
      </c>
      <c r="FL20" t="e">
        <f>AND(#REF!,"AAAAAHX54qc=")</f>
        <v>#REF!</v>
      </c>
      <c r="FM20" t="e">
        <f>AND(#REF!,"AAAAAHX54qg=")</f>
        <v>#REF!</v>
      </c>
      <c r="FN20" t="e">
        <f>AND(#REF!,"AAAAAHX54qk=")</f>
        <v>#REF!</v>
      </c>
      <c r="FO20" t="e">
        <f>AND(#REF!,"AAAAAHX54qo=")</f>
        <v>#REF!</v>
      </c>
      <c r="FP20" t="e">
        <f>IF(#REF!,"AAAAAHX54qs=",0)</f>
        <v>#REF!</v>
      </c>
      <c r="FQ20" t="e">
        <f>AND(#REF!,"AAAAAHX54qw=")</f>
        <v>#REF!</v>
      </c>
      <c r="FR20" t="e">
        <f>AND(#REF!,"AAAAAHX54q0=")</f>
        <v>#REF!</v>
      </c>
      <c r="FS20" t="e">
        <f>AND(#REF!,"AAAAAHX54q4=")</f>
        <v>#REF!</v>
      </c>
      <c r="FT20" t="e">
        <f>AND(#REF!,"AAAAAHX54q8=")</f>
        <v>#REF!</v>
      </c>
      <c r="FU20" t="e">
        <f>AND(#REF!,"AAAAAHX54rA=")</f>
        <v>#REF!</v>
      </c>
      <c r="FV20" t="e">
        <f>AND(#REF!,"AAAAAHX54rE=")</f>
        <v>#REF!</v>
      </c>
      <c r="FW20" t="e">
        <f>AND(#REF!,"AAAAAHX54rI=")</f>
        <v>#REF!</v>
      </c>
      <c r="FX20" t="e">
        <f>AND(#REF!,"AAAAAHX54rM=")</f>
        <v>#REF!</v>
      </c>
      <c r="FY20" t="e">
        <f>AND(#REF!,"AAAAAHX54rQ=")</f>
        <v>#REF!</v>
      </c>
      <c r="FZ20" t="e">
        <f>AND(#REF!,"AAAAAHX54rU=")</f>
        <v>#REF!</v>
      </c>
      <c r="GA20" t="e">
        <f>AND(#REF!,"AAAAAHX54rY=")</f>
        <v>#REF!</v>
      </c>
      <c r="GB20" t="e">
        <f>IF(#REF!,"AAAAAHX54rc=",0)</f>
        <v>#REF!</v>
      </c>
      <c r="GC20" t="e">
        <f>AND(#REF!,"AAAAAHX54rg=")</f>
        <v>#REF!</v>
      </c>
      <c r="GD20" t="e">
        <f>AND(#REF!,"AAAAAHX54rk=")</f>
        <v>#REF!</v>
      </c>
      <c r="GE20" t="e">
        <f>AND(#REF!,"AAAAAHX54ro=")</f>
        <v>#REF!</v>
      </c>
      <c r="GF20" t="e">
        <f>AND(#REF!,"AAAAAHX54rs=")</f>
        <v>#REF!</v>
      </c>
      <c r="GG20" t="e">
        <f>AND(#REF!,"AAAAAHX54rw=")</f>
        <v>#REF!</v>
      </c>
      <c r="GH20" t="e">
        <f>AND(#REF!,"AAAAAHX54r0=")</f>
        <v>#REF!</v>
      </c>
      <c r="GI20" t="e">
        <f>AND(#REF!,"AAAAAHX54r4=")</f>
        <v>#REF!</v>
      </c>
      <c r="GJ20" t="e">
        <f>AND(#REF!,"AAAAAHX54r8=")</f>
        <v>#REF!</v>
      </c>
      <c r="GK20" t="e">
        <f>AND(#REF!,"AAAAAHX54sA=")</f>
        <v>#REF!</v>
      </c>
      <c r="GL20" t="e">
        <f>AND(#REF!,"AAAAAHX54sE=")</f>
        <v>#REF!</v>
      </c>
      <c r="GM20" t="e">
        <f>AND(#REF!,"AAAAAHX54sI=")</f>
        <v>#REF!</v>
      </c>
      <c r="GN20" t="e">
        <f>IF(#REF!,"AAAAAHX54sM=",0)</f>
        <v>#REF!</v>
      </c>
      <c r="GO20" t="e">
        <f>AND(#REF!,"AAAAAHX54sQ=")</f>
        <v>#REF!</v>
      </c>
      <c r="GP20" t="e">
        <f>AND(#REF!,"AAAAAHX54sU=")</f>
        <v>#REF!</v>
      </c>
      <c r="GQ20" t="e">
        <f>AND(#REF!,"AAAAAHX54sY=")</f>
        <v>#REF!</v>
      </c>
      <c r="GR20" t="e">
        <f>AND(#REF!,"AAAAAHX54sc=")</f>
        <v>#REF!</v>
      </c>
      <c r="GS20" t="e">
        <f>AND(#REF!,"AAAAAHX54sg=")</f>
        <v>#REF!</v>
      </c>
      <c r="GT20" t="e">
        <f>AND(#REF!,"AAAAAHX54sk=")</f>
        <v>#REF!</v>
      </c>
      <c r="GU20" t="e">
        <f>AND(#REF!,"AAAAAHX54so=")</f>
        <v>#REF!</v>
      </c>
      <c r="GV20" t="e">
        <f>AND(#REF!,"AAAAAHX54ss=")</f>
        <v>#REF!</v>
      </c>
      <c r="GW20" t="e">
        <f>AND(#REF!,"AAAAAHX54sw=")</f>
        <v>#REF!</v>
      </c>
      <c r="GX20" t="e">
        <f>AND(#REF!,"AAAAAHX54s0=")</f>
        <v>#REF!</v>
      </c>
      <c r="GY20" t="e">
        <f>AND(#REF!,"AAAAAHX54s4=")</f>
        <v>#REF!</v>
      </c>
      <c r="GZ20" t="e">
        <f>IF(#REF!,"AAAAAHX54s8=",0)</f>
        <v>#REF!</v>
      </c>
      <c r="HA20" t="e">
        <f>AND(#REF!,"AAAAAHX54tA=")</f>
        <v>#REF!</v>
      </c>
      <c r="HB20" t="e">
        <f>AND(#REF!,"AAAAAHX54tE=")</f>
        <v>#REF!</v>
      </c>
      <c r="HC20" t="e">
        <f>AND(#REF!,"AAAAAHX54tI=")</f>
        <v>#REF!</v>
      </c>
      <c r="HD20" t="e">
        <f>AND(#REF!,"AAAAAHX54tM=")</f>
        <v>#REF!</v>
      </c>
      <c r="HE20" t="e">
        <f>AND(#REF!,"AAAAAHX54tQ=")</f>
        <v>#REF!</v>
      </c>
      <c r="HF20" t="e">
        <f>AND(#REF!,"AAAAAHX54tU=")</f>
        <v>#REF!</v>
      </c>
      <c r="HG20" t="e">
        <f>AND(#REF!,"AAAAAHX54tY=")</f>
        <v>#REF!</v>
      </c>
      <c r="HH20" t="e">
        <f>AND(#REF!,"AAAAAHX54tc=")</f>
        <v>#REF!</v>
      </c>
      <c r="HI20" t="e">
        <f>AND(#REF!,"AAAAAHX54tg=")</f>
        <v>#REF!</v>
      </c>
      <c r="HJ20" t="e">
        <f>AND(#REF!,"AAAAAHX54tk=")</f>
        <v>#REF!</v>
      </c>
      <c r="HK20" t="e">
        <f>AND(#REF!,"AAAAAHX54to=")</f>
        <v>#REF!</v>
      </c>
      <c r="HL20" t="e">
        <f>IF(#REF!,"AAAAAHX54ts=",0)</f>
        <v>#REF!</v>
      </c>
      <c r="HM20" t="e">
        <f>AND(#REF!,"AAAAAHX54tw=")</f>
        <v>#REF!</v>
      </c>
      <c r="HN20" t="e">
        <f>AND(#REF!,"AAAAAHX54t0=")</f>
        <v>#REF!</v>
      </c>
      <c r="HO20" t="e">
        <f>AND(#REF!,"AAAAAHX54t4=")</f>
        <v>#REF!</v>
      </c>
      <c r="HP20" t="e">
        <f>AND(#REF!,"AAAAAHX54t8=")</f>
        <v>#REF!</v>
      </c>
      <c r="HQ20" t="e">
        <f>AND(#REF!,"AAAAAHX54uA=")</f>
        <v>#REF!</v>
      </c>
      <c r="HR20" t="e">
        <f>AND(#REF!,"AAAAAHX54uE=")</f>
        <v>#REF!</v>
      </c>
      <c r="HS20" t="e">
        <f>AND(#REF!,"AAAAAHX54uI=")</f>
        <v>#REF!</v>
      </c>
      <c r="HT20" t="e">
        <f>AND(#REF!,"AAAAAHX54uM=")</f>
        <v>#REF!</v>
      </c>
      <c r="HU20" t="e">
        <f>AND(#REF!,"AAAAAHX54uQ=")</f>
        <v>#REF!</v>
      </c>
      <c r="HV20" t="e">
        <f>AND(#REF!,"AAAAAHX54uU=")</f>
        <v>#REF!</v>
      </c>
      <c r="HW20" t="e">
        <f>AND(#REF!,"AAAAAHX54uY=")</f>
        <v>#REF!</v>
      </c>
      <c r="HX20" t="e">
        <f>IF(#REF!,"AAAAAHX54uc=",0)</f>
        <v>#REF!</v>
      </c>
      <c r="HY20" t="e">
        <f>AND(#REF!,"AAAAAHX54ug=")</f>
        <v>#REF!</v>
      </c>
      <c r="HZ20" t="e">
        <f>AND(#REF!,"AAAAAHX54uk=")</f>
        <v>#REF!</v>
      </c>
      <c r="IA20" t="e">
        <f>AND(#REF!,"AAAAAHX54uo=")</f>
        <v>#REF!</v>
      </c>
      <c r="IB20" t="e">
        <f>AND(#REF!,"AAAAAHX54us=")</f>
        <v>#REF!</v>
      </c>
      <c r="IC20" t="e">
        <f>AND(#REF!,"AAAAAHX54uw=")</f>
        <v>#REF!</v>
      </c>
      <c r="ID20" t="e">
        <f>AND(#REF!,"AAAAAHX54u0=")</f>
        <v>#REF!</v>
      </c>
      <c r="IE20" t="e">
        <f>AND(#REF!,"AAAAAHX54u4=")</f>
        <v>#REF!</v>
      </c>
      <c r="IF20" t="e">
        <f>AND(#REF!,"AAAAAHX54u8=")</f>
        <v>#REF!</v>
      </c>
      <c r="IG20" t="e">
        <f>AND(#REF!,"AAAAAHX54vA=")</f>
        <v>#REF!</v>
      </c>
      <c r="IH20" t="e">
        <f>AND(#REF!,"AAAAAHX54vE=")</f>
        <v>#REF!</v>
      </c>
      <c r="II20" t="e">
        <f>AND(#REF!,"AAAAAHX54vI=")</f>
        <v>#REF!</v>
      </c>
      <c r="IJ20" t="e">
        <f>IF(#REF!,"AAAAAHX54vM=",0)</f>
        <v>#REF!</v>
      </c>
      <c r="IK20" t="e">
        <f>AND(#REF!,"AAAAAHX54vQ=")</f>
        <v>#REF!</v>
      </c>
      <c r="IL20" t="e">
        <f>AND(#REF!,"AAAAAHX54vU=")</f>
        <v>#REF!</v>
      </c>
      <c r="IM20" t="e">
        <f>AND(#REF!,"AAAAAHX54vY=")</f>
        <v>#REF!</v>
      </c>
      <c r="IN20" t="e">
        <f>AND(#REF!,"AAAAAHX54vc=")</f>
        <v>#REF!</v>
      </c>
      <c r="IO20" t="e">
        <f>AND(#REF!,"AAAAAHX54vg=")</f>
        <v>#REF!</v>
      </c>
      <c r="IP20" t="e">
        <f>AND(#REF!,"AAAAAHX54vk=")</f>
        <v>#REF!</v>
      </c>
      <c r="IQ20" t="e">
        <f>AND(#REF!,"AAAAAHX54vo=")</f>
        <v>#REF!</v>
      </c>
      <c r="IR20" t="e">
        <f>AND(#REF!,"AAAAAHX54vs=")</f>
        <v>#REF!</v>
      </c>
      <c r="IS20" t="e">
        <f>AND(#REF!,"AAAAAHX54vw=")</f>
        <v>#REF!</v>
      </c>
      <c r="IT20" t="e">
        <f>AND(#REF!,"AAAAAHX54v0=")</f>
        <v>#REF!</v>
      </c>
      <c r="IU20" t="e">
        <f>AND(#REF!,"AAAAAHX54v4=")</f>
        <v>#REF!</v>
      </c>
      <c r="IV20" t="e">
        <f>IF(#REF!,"AAAAAHX54v8=",0)</f>
        <v>#REF!</v>
      </c>
    </row>
    <row r="21" spans="1:256" ht="15">
      <c r="A21" t="e">
        <f>AND(#REF!,"AAAAAFv5vAA=")</f>
        <v>#REF!</v>
      </c>
      <c r="B21" t="e">
        <f>AND(#REF!,"AAAAAFv5vAE=")</f>
        <v>#REF!</v>
      </c>
      <c r="C21" t="e">
        <f>AND(#REF!,"AAAAAFv5vAI=")</f>
        <v>#REF!</v>
      </c>
      <c r="D21" t="e">
        <f>AND(#REF!,"AAAAAFv5vAM=")</f>
        <v>#REF!</v>
      </c>
      <c r="E21" t="e">
        <f>AND(#REF!,"AAAAAFv5vAQ=")</f>
        <v>#REF!</v>
      </c>
      <c r="F21" t="e">
        <f>AND(#REF!,"AAAAAFv5vAU=")</f>
        <v>#REF!</v>
      </c>
      <c r="G21" t="e">
        <f>AND(#REF!,"AAAAAFv5vAY=")</f>
        <v>#REF!</v>
      </c>
      <c r="H21" t="e">
        <f>AND(#REF!,"AAAAAFv5vAc=")</f>
        <v>#REF!</v>
      </c>
      <c r="I21" t="e">
        <f>AND(#REF!,"AAAAAFv5vAg=")</f>
        <v>#REF!</v>
      </c>
      <c r="J21" t="e">
        <f>AND(#REF!,"AAAAAFv5vAk=")</f>
        <v>#REF!</v>
      </c>
      <c r="K21" t="e">
        <f>AND(#REF!,"AAAAAFv5vAo=")</f>
        <v>#REF!</v>
      </c>
      <c r="L21" t="e">
        <f>IF(#REF!,"AAAAAFv5vAs=",0)</f>
        <v>#REF!</v>
      </c>
      <c r="M21" t="e">
        <f>AND(#REF!,"AAAAAFv5vAw=")</f>
        <v>#REF!</v>
      </c>
      <c r="N21" t="e">
        <f>AND(#REF!,"AAAAAFv5vA0=")</f>
        <v>#REF!</v>
      </c>
      <c r="O21" t="e">
        <f>AND(#REF!,"AAAAAFv5vA4=")</f>
        <v>#REF!</v>
      </c>
      <c r="P21" t="e">
        <f>AND(#REF!,"AAAAAFv5vA8=")</f>
        <v>#REF!</v>
      </c>
      <c r="Q21" t="e">
        <f>AND(#REF!,"AAAAAFv5vBA=")</f>
        <v>#REF!</v>
      </c>
      <c r="R21" t="e">
        <f>AND(#REF!,"AAAAAFv5vBE=")</f>
        <v>#REF!</v>
      </c>
      <c r="S21" t="e">
        <f>AND(#REF!,"AAAAAFv5vBI=")</f>
        <v>#REF!</v>
      </c>
      <c r="T21" t="e">
        <f>AND(#REF!,"AAAAAFv5vBM=")</f>
        <v>#REF!</v>
      </c>
      <c r="U21" t="e">
        <f>AND(#REF!,"AAAAAFv5vBQ=")</f>
        <v>#REF!</v>
      </c>
      <c r="V21" t="e">
        <f>AND(#REF!,"AAAAAFv5vBU=")</f>
        <v>#REF!</v>
      </c>
      <c r="W21" t="e">
        <f>AND(#REF!,"AAAAAFv5vBY=")</f>
        <v>#REF!</v>
      </c>
      <c r="X21" t="e">
        <f>IF(#REF!,"AAAAAFv5vBc=",0)</f>
        <v>#REF!</v>
      </c>
      <c r="Y21" t="e">
        <f>AND(#REF!,"AAAAAFv5vBg=")</f>
        <v>#REF!</v>
      </c>
      <c r="Z21" t="e">
        <f>AND(#REF!,"AAAAAFv5vBk=")</f>
        <v>#REF!</v>
      </c>
      <c r="AA21" t="e">
        <f>AND(#REF!,"AAAAAFv5vBo=")</f>
        <v>#REF!</v>
      </c>
      <c r="AB21" t="e">
        <f>AND(#REF!,"AAAAAFv5vBs=")</f>
        <v>#REF!</v>
      </c>
      <c r="AC21" t="e">
        <f>AND(#REF!,"AAAAAFv5vBw=")</f>
        <v>#REF!</v>
      </c>
      <c r="AD21" t="e">
        <f>AND(#REF!,"AAAAAFv5vB0=")</f>
        <v>#REF!</v>
      </c>
      <c r="AE21" t="e">
        <f>AND(#REF!,"AAAAAFv5vB4=")</f>
        <v>#REF!</v>
      </c>
      <c r="AF21" t="e">
        <f>AND(#REF!,"AAAAAFv5vB8=")</f>
        <v>#REF!</v>
      </c>
      <c r="AG21" t="e">
        <f>AND(#REF!,"AAAAAFv5vCA=")</f>
        <v>#REF!</v>
      </c>
      <c r="AH21" t="e">
        <f>AND(#REF!,"AAAAAFv5vCE=")</f>
        <v>#REF!</v>
      </c>
      <c r="AI21" t="e">
        <f>AND(#REF!,"AAAAAFv5vCI=")</f>
        <v>#REF!</v>
      </c>
      <c r="AJ21" t="e">
        <f>IF(#REF!,"AAAAAFv5vCM=",0)</f>
        <v>#REF!</v>
      </c>
      <c r="AK21" t="e">
        <f>AND(#REF!,"AAAAAFv5vCQ=")</f>
        <v>#REF!</v>
      </c>
      <c r="AL21" t="e">
        <f>AND(#REF!,"AAAAAFv5vCU=")</f>
        <v>#REF!</v>
      </c>
      <c r="AM21" t="e">
        <f>AND(#REF!,"AAAAAFv5vCY=")</f>
        <v>#REF!</v>
      </c>
      <c r="AN21" t="e">
        <f>AND(#REF!,"AAAAAFv5vCc=")</f>
        <v>#REF!</v>
      </c>
      <c r="AO21" t="e">
        <f>AND(#REF!,"AAAAAFv5vCg=")</f>
        <v>#REF!</v>
      </c>
      <c r="AP21" t="e">
        <f>AND(#REF!,"AAAAAFv5vCk=")</f>
        <v>#REF!</v>
      </c>
      <c r="AQ21" t="e">
        <f>AND(#REF!,"AAAAAFv5vCo=")</f>
        <v>#REF!</v>
      </c>
      <c r="AR21" t="e">
        <f>AND(#REF!,"AAAAAFv5vCs=")</f>
        <v>#REF!</v>
      </c>
      <c r="AS21" t="e">
        <f>AND(#REF!,"AAAAAFv5vCw=")</f>
        <v>#REF!</v>
      </c>
      <c r="AT21" t="e">
        <f>AND(#REF!,"AAAAAFv5vC0=")</f>
        <v>#REF!</v>
      </c>
      <c r="AU21" t="e">
        <f>AND(#REF!,"AAAAAFv5vC4=")</f>
        <v>#REF!</v>
      </c>
      <c r="AV21" t="e">
        <f>IF(#REF!,"AAAAAFv5vC8=",0)</f>
        <v>#REF!</v>
      </c>
      <c r="AW21" t="e">
        <f>AND(#REF!,"AAAAAFv5vDA=")</f>
        <v>#REF!</v>
      </c>
      <c r="AX21" t="e">
        <f>AND(#REF!,"AAAAAFv5vDE=")</f>
        <v>#REF!</v>
      </c>
      <c r="AY21" t="e">
        <f>AND(#REF!,"AAAAAFv5vDI=")</f>
        <v>#REF!</v>
      </c>
      <c r="AZ21" t="e">
        <f>AND(#REF!,"AAAAAFv5vDM=")</f>
        <v>#REF!</v>
      </c>
      <c r="BA21" t="e">
        <f>AND(#REF!,"AAAAAFv5vDQ=")</f>
        <v>#REF!</v>
      </c>
      <c r="BB21" t="e">
        <f>AND(#REF!,"AAAAAFv5vDU=")</f>
        <v>#REF!</v>
      </c>
      <c r="BC21" t="e">
        <f>AND(#REF!,"AAAAAFv5vDY=")</f>
        <v>#REF!</v>
      </c>
      <c r="BD21" t="e">
        <f>AND(#REF!,"AAAAAFv5vDc=")</f>
        <v>#REF!</v>
      </c>
      <c r="BE21" t="e">
        <f>AND(#REF!,"AAAAAFv5vDg=")</f>
        <v>#REF!</v>
      </c>
      <c r="BF21" t="e">
        <f>AND(#REF!,"AAAAAFv5vDk=")</f>
        <v>#REF!</v>
      </c>
      <c r="BG21" t="e">
        <f>AND(#REF!,"AAAAAFv5vDo=")</f>
        <v>#REF!</v>
      </c>
      <c r="BH21" t="e">
        <f>IF(#REF!,"AAAAAFv5vDs=",0)</f>
        <v>#REF!</v>
      </c>
      <c r="BI21" t="e">
        <f>AND(#REF!,"AAAAAFv5vDw=")</f>
        <v>#REF!</v>
      </c>
      <c r="BJ21" t="e">
        <f>AND(#REF!,"AAAAAFv5vD0=")</f>
        <v>#REF!</v>
      </c>
      <c r="BK21" t="e">
        <f>AND(#REF!,"AAAAAFv5vD4=")</f>
        <v>#REF!</v>
      </c>
      <c r="BL21" t="e">
        <f>AND(#REF!,"AAAAAFv5vD8=")</f>
        <v>#REF!</v>
      </c>
      <c r="BM21" t="e">
        <f>AND(#REF!,"AAAAAFv5vEA=")</f>
        <v>#REF!</v>
      </c>
      <c r="BN21" t="e">
        <f>AND(#REF!,"AAAAAFv5vEE=")</f>
        <v>#REF!</v>
      </c>
      <c r="BO21" t="e">
        <f>AND(#REF!,"AAAAAFv5vEI=")</f>
        <v>#REF!</v>
      </c>
      <c r="BP21" t="e">
        <f>AND(#REF!,"AAAAAFv5vEM=")</f>
        <v>#REF!</v>
      </c>
      <c r="BQ21" t="e">
        <f>AND(#REF!,"AAAAAFv5vEQ=")</f>
        <v>#REF!</v>
      </c>
      <c r="BR21" t="e">
        <f>AND(#REF!,"AAAAAFv5vEU=")</f>
        <v>#REF!</v>
      </c>
      <c r="BS21" t="e">
        <f>AND(#REF!,"AAAAAFv5vEY=")</f>
        <v>#REF!</v>
      </c>
      <c r="BT21" t="e">
        <f>IF(#REF!,"AAAAAFv5vEc=",0)</f>
        <v>#REF!</v>
      </c>
      <c r="BU21" t="e">
        <f>AND(#REF!,"AAAAAFv5vEg=")</f>
        <v>#REF!</v>
      </c>
      <c r="BV21" t="e">
        <f>AND(#REF!,"AAAAAFv5vEk=")</f>
        <v>#REF!</v>
      </c>
      <c r="BW21" t="e">
        <f>AND(#REF!,"AAAAAFv5vEo=")</f>
        <v>#REF!</v>
      </c>
      <c r="BX21" t="e">
        <f>AND(#REF!,"AAAAAFv5vEs=")</f>
        <v>#REF!</v>
      </c>
      <c r="BY21" t="e">
        <f>AND(#REF!,"AAAAAFv5vEw=")</f>
        <v>#REF!</v>
      </c>
      <c r="BZ21" t="e">
        <f>AND(#REF!,"AAAAAFv5vE0=")</f>
        <v>#REF!</v>
      </c>
      <c r="CA21" t="e">
        <f>AND(#REF!,"AAAAAFv5vE4=")</f>
        <v>#REF!</v>
      </c>
      <c r="CB21" t="e">
        <f>AND(#REF!,"AAAAAFv5vE8=")</f>
        <v>#REF!</v>
      </c>
      <c r="CC21" t="e">
        <f>AND(#REF!,"AAAAAFv5vFA=")</f>
        <v>#REF!</v>
      </c>
      <c r="CD21" t="e">
        <f>AND(#REF!,"AAAAAFv5vFE=")</f>
        <v>#REF!</v>
      </c>
      <c r="CE21" t="e">
        <f>AND(#REF!,"AAAAAFv5vFI=")</f>
        <v>#REF!</v>
      </c>
      <c r="CF21" t="e">
        <f>IF(#REF!,"AAAAAFv5vFM=",0)</f>
        <v>#REF!</v>
      </c>
      <c r="CG21" t="e">
        <f>AND(#REF!,"AAAAAFv5vFQ=")</f>
        <v>#REF!</v>
      </c>
      <c r="CH21" t="e">
        <f>AND(#REF!,"AAAAAFv5vFU=")</f>
        <v>#REF!</v>
      </c>
      <c r="CI21" t="e">
        <f>AND(#REF!,"AAAAAFv5vFY=")</f>
        <v>#REF!</v>
      </c>
      <c r="CJ21" t="e">
        <f>AND(#REF!,"AAAAAFv5vFc=")</f>
        <v>#REF!</v>
      </c>
      <c r="CK21" t="e">
        <f>AND(#REF!,"AAAAAFv5vFg=")</f>
        <v>#REF!</v>
      </c>
      <c r="CL21" t="e">
        <f>AND(#REF!,"AAAAAFv5vFk=")</f>
        <v>#REF!</v>
      </c>
      <c r="CM21" t="e">
        <f>AND(#REF!,"AAAAAFv5vFo=")</f>
        <v>#REF!</v>
      </c>
      <c r="CN21" t="e">
        <f>AND(#REF!,"AAAAAFv5vFs=")</f>
        <v>#REF!</v>
      </c>
      <c r="CO21" t="e">
        <f>AND(#REF!,"AAAAAFv5vFw=")</f>
        <v>#REF!</v>
      </c>
      <c r="CP21" t="e">
        <f>AND(#REF!,"AAAAAFv5vF0=")</f>
        <v>#REF!</v>
      </c>
      <c r="CQ21" t="e">
        <f>AND(#REF!,"AAAAAFv5vF4=")</f>
        <v>#REF!</v>
      </c>
      <c r="CR21" t="e">
        <f>IF(#REF!,"AAAAAFv5vF8=",0)</f>
        <v>#REF!</v>
      </c>
      <c r="CS21" t="e">
        <f>AND(#REF!,"AAAAAFv5vGA=")</f>
        <v>#REF!</v>
      </c>
      <c r="CT21" t="e">
        <f>AND(#REF!,"AAAAAFv5vGE=")</f>
        <v>#REF!</v>
      </c>
      <c r="CU21" t="e">
        <f>AND(#REF!,"AAAAAFv5vGI=")</f>
        <v>#REF!</v>
      </c>
      <c r="CV21" t="e">
        <f>AND(#REF!,"AAAAAFv5vGM=")</f>
        <v>#REF!</v>
      </c>
      <c r="CW21" t="e">
        <f>AND(#REF!,"AAAAAFv5vGQ=")</f>
        <v>#REF!</v>
      </c>
      <c r="CX21" t="e">
        <f>AND(#REF!,"AAAAAFv5vGU=")</f>
        <v>#REF!</v>
      </c>
      <c r="CY21" t="e">
        <f>AND(#REF!,"AAAAAFv5vGY=")</f>
        <v>#REF!</v>
      </c>
      <c r="CZ21" t="e">
        <f>AND(#REF!,"AAAAAFv5vGc=")</f>
        <v>#REF!</v>
      </c>
      <c r="DA21" t="e">
        <f>AND(#REF!,"AAAAAFv5vGg=")</f>
        <v>#REF!</v>
      </c>
      <c r="DB21" t="e">
        <f>AND(#REF!,"AAAAAFv5vGk=")</f>
        <v>#REF!</v>
      </c>
      <c r="DC21" t="e">
        <f>AND(#REF!,"AAAAAFv5vGo=")</f>
        <v>#REF!</v>
      </c>
      <c r="DD21" t="e">
        <f>IF(#REF!,"AAAAAFv5vGs=",0)</f>
        <v>#REF!</v>
      </c>
      <c r="DE21" t="e">
        <f>AND(#REF!,"AAAAAFv5vGw=")</f>
        <v>#REF!</v>
      </c>
      <c r="DF21" t="e">
        <f>AND(#REF!,"AAAAAFv5vG0=")</f>
        <v>#REF!</v>
      </c>
      <c r="DG21" t="e">
        <f>AND(#REF!,"AAAAAFv5vG4=")</f>
        <v>#REF!</v>
      </c>
      <c r="DH21" t="e">
        <f>AND(#REF!,"AAAAAFv5vG8=")</f>
        <v>#REF!</v>
      </c>
      <c r="DI21" t="e">
        <f>AND(#REF!,"AAAAAFv5vHA=")</f>
        <v>#REF!</v>
      </c>
      <c r="DJ21" t="e">
        <f>AND(#REF!,"AAAAAFv5vHE=")</f>
        <v>#REF!</v>
      </c>
      <c r="DK21" t="e">
        <f>AND(#REF!,"AAAAAFv5vHI=")</f>
        <v>#REF!</v>
      </c>
      <c r="DL21" t="e">
        <f>AND(#REF!,"AAAAAFv5vHM=")</f>
        <v>#REF!</v>
      </c>
      <c r="DM21" t="e">
        <f>AND(#REF!,"AAAAAFv5vHQ=")</f>
        <v>#REF!</v>
      </c>
      <c r="DN21" t="e">
        <f>AND(#REF!,"AAAAAFv5vHU=")</f>
        <v>#REF!</v>
      </c>
      <c r="DO21" t="e">
        <f>AND(#REF!,"AAAAAFv5vHY=")</f>
        <v>#REF!</v>
      </c>
      <c r="DP21" t="e">
        <f>IF(#REF!,"AAAAAFv5vHc=",0)</f>
        <v>#REF!</v>
      </c>
      <c r="DQ21" t="e">
        <f>AND(#REF!,"AAAAAFv5vHg=")</f>
        <v>#REF!</v>
      </c>
      <c r="DR21" t="e">
        <f>AND(#REF!,"AAAAAFv5vHk=")</f>
        <v>#REF!</v>
      </c>
      <c r="DS21" t="e">
        <f>AND(#REF!,"AAAAAFv5vHo=")</f>
        <v>#REF!</v>
      </c>
      <c r="DT21" t="e">
        <f>AND(#REF!,"AAAAAFv5vHs=")</f>
        <v>#REF!</v>
      </c>
      <c r="DU21" t="e">
        <f>AND(#REF!,"AAAAAFv5vHw=")</f>
        <v>#REF!</v>
      </c>
      <c r="DV21" t="e">
        <f>AND(#REF!,"AAAAAFv5vH0=")</f>
        <v>#REF!</v>
      </c>
      <c r="DW21" t="e">
        <f>AND(#REF!,"AAAAAFv5vH4=")</f>
        <v>#REF!</v>
      </c>
      <c r="DX21" t="e">
        <f>AND(#REF!,"AAAAAFv5vH8=")</f>
        <v>#REF!</v>
      </c>
      <c r="DY21" t="e">
        <f>AND(#REF!,"AAAAAFv5vIA=")</f>
        <v>#REF!</v>
      </c>
      <c r="DZ21" t="e">
        <f>AND(#REF!,"AAAAAFv5vIE=")</f>
        <v>#REF!</v>
      </c>
      <c r="EA21" t="e">
        <f>AND(#REF!,"AAAAAFv5vII=")</f>
        <v>#REF!</v>
      </c>
      <c r="EB21" t="e">
        <f>IF(#REF!,"AAAAAFv5vIM=",0)</f>
        <v>#REF!</v>
      </c>
      <c r="EC21" t="e">
        <f>AND(#REF!,"AAAAAFv5vIQ=")</f>
        <v>#REF!</v>
      </c>
      <c r="ED21" t="e">
        <f>AND(#REF!,"AAAAAFv5vIU=")</f>
        <v>#REF!</v>
      </c>
      <c r="EE21" t="e">
        <f>AND(#REF!,"AAAAAFv5vIY=")</f>
        <v>#REF!</v>
      </c>
      <c r="EF21" t="e">
        <f>AND(#REF!,"AAAAAFv5vIc=")</f>
        <v>#REF!</v>
      </c>
      <c r="EG21" t="e">
        <f>AND(#REF!,"AAAAAFv5vIg=")</f>
        <v>#REF!</v>
      </c>
      <c r="EH21" t="e">
        <f>AND(#REF!,"AAAAAFv5vIk=")</f>
        <v>#REF!</v>
      </c>
      <c r="EI21" t="e">
        <f>AND(#REF!,"AAAAAFv5vIo=")</f>
        <v>#REF!</v>
      </c>
      <c r="EJ21" t="e">
        <f>AND(#REF!,"AAAAAFv5vIs=")</f>
        <v>#REF!</v>
      </c>
      <c r="EK21" t="e">
        <f>AND(#REF!,"AAAAAFv5vIw=")</f>
        <v>#REF!</v>
      </c>
      <c r="EL21" t="e">
        <f>AND(#REF!,"AAAAAFv5vI0=")</f>
        <v>#REF!</v>
      </c>
      <c r="EM21" t="e">
        <f>AND(#REF!,"AAAAAFv5vI4=")</f>
        <v>#REF!</v>
      </c>
      <c r="EN21" t="e">
        <f>IF(#REF!,"AAAAAFv5vI8=",0)</f>
        <v>#REF!</v>
      </c>
      <c r="EO21" t="e">
        <f>IF(#REF!,"AAAAAFv5vJA=",0)</f>
        <v>#REF!</v>
      </c>
      <c r="EP21" t="e">
        <f>IF(#REF!,"AAAAAFv5vJE=",0)</f>
        <v>#REF!</v>
      </c>
      <c r="EQ21" t="e">
        <f>IF(#REF!,"AAAAAFv5vJI=",0)</f>
        <v>#REF!</v>
      </c>
      <c r="ER21" t="e">
        <f>IF(#REF!,"AAAAAFv5vJM=",0)</f>
        <v>#REF!</v>
      </c>
      <c r="ES21" t="e">
        <f>IF(#REF!,"AAAAAFv5vJQ=",0)</f>
        <v>#REF!</v>
      </c>
      <c r="ET21" t="e">
        <f>IF(#REF!,"AAAAAFv5vJU=",0)</f>
        <v>#REF!</v>
      </c>
      <c r="EU21" t="e">
        <f>IF(#REF!,"AAAAAFv5vJY=",0)</f>
        <v>#REF!</v>
      </c>
      <c r="EV21" t="e">
        <f>IF(#REF!,"AAAAAFv5vJc=",0)</f>
        <v>#REF!</v>
      </c>
      <c r="EW21" t="e">
        <f>IF(#REF!,"AAAAAFv5vJg=",0)</f>
        <v>#REF!</v>
      </c>
      <c r="EX21" t="e">
        <f>IF(#REF!,"AAAAAFv5vJk=",0)</f>
        <v>#REF!</v>
      </c>
      <c r="EY21" t="e">
        <f>IF(#REF!,"AAAAAFv5vJo=",0)</f>
        <v>#REF!</v>
      </c>
      <c r="EZ21" t="e">
        <f>IF(#REF!,"AAAAAFv5vJs=",0)</f>
        <v>#REF!</v>
      </c>
      <c r="FA21" t="e">
        <f>AND(#REF!,"AAAAAFv5vJw=")</f>
        <v>#REF!</v>
      </c>
      <c r="FB21" t="e">
        <f>AND(#REF!,"AAAAAFv5vJ0=")</f>
        <v>#REF!</v>
      </c>
      <c r="FC21" t="e">
        <f>AND(#REF!,"AAAAAFv5vJ4=")</f>
        <v>#REF!</v>
      </c>
      <c r="FD21" t="e">
        <f>AND(#REF!,"AAAAAFv5vJ8=")</f>
        <v>#REF!</v>
      </c>
      <c r="FE21" t="e">
        <f>AND(#REF!,"AAAAAFv5vKA=")</f>
        <v>#REF!</v>
      </c>
      <c r="FF21" t="e">
        <f>AND(#REF!,"AAAAAFv5vKE=")</f>
        <v>#REF!</v>
      </c>
      <c r="FG21" t="e">
        <f>AND(#REF!,"AAAAAFv5vKI=")</f>
        <v>#REF!</v>
      </c>
      <c r="FH21" t="e">
        <f>AND(#REF!,"AAAAAFv5vKM=")</f>
        <v>#REF!</v>
      </c>
      <c r="FI21" t="e">
        <f>AND(#REF!,"AAAAAFv5vKQ=")</f>
        <v>#REF!</v>
      </c>
      <c r="FJ21" t="e">
        <f>AND(#REF!,"AAAAAFv5vKU=")</f>
        <v>#REF!</v>
      </c>
      <c r="FK21" t="e">
        <f>AND(#REF!,"AAAAAFv5vKY=")</f>
        <v>#REF!</v>
      </c>
      <c r="FL21" t="e">
        <f>AND(#REF!,"AAAAAFv5vKc=")</f>
        <v>#REF!</v>
      </c>
      <c r="FM21" t="e">
        <f>AND(#REF!,"AAAAAFv5vKg=")</f>
        <v>#REF!</v>
      </c>
      <c r="FN21" t="e">
        <f>AND(#REF!,"AAAAAFv5vKk=")</f>
        <v>#REF!</v>
      </c>
      <c r="FO21" t="e">
        <f>AND(#REF!,"AAAAAFv5vKo=")</f>
        <v>#REF!</v>
      </c>
      <c r="FP21" t="e">
        <f>AND(#REF!,"AAAAAFv5vKs=")</f>
        <v>#REF!</v>
      </c>
      <c r="FQ21" t="e">
        <f>IF(#REF!,"AAAAAFv5vKw=",0)</f>
        <v>#REF!</v>
      </c>
      <c r="FR21" t="e">
        <f>AND(#REF!,"AAAAAFv5vK0=")</f>
        <v>#REF!</v>
      </c>
      <c r="FS21" t="e">
        <f>AND(#REF!,"AAAAAFv5vK4=")</f>
        <v>#REF!</v>
      </c>
      <c r="FT21" t="e">
        <f>AND(#REF!,"AAAAAFv5vK8=")</f>
        <v>#REF!</v>
      </c>
      <c r="FU21" t="e">
        <f>AND(#REF!,"AAAAAFv5vLA=")</f>
        <v>#REF!</v>
      </c>
      <c r="FV21" t="e">
        <f>AND(#REF!,"AAAAAFv5vLE=")</f>
        <v>#REF!</v>
      </c>
      <c r="FW21" t="e">
        <f>AND(#REF!,"AAAAAFv5vLI=")</f>
        <v>#REF!</v>
      </c>
      <c r="FX21" t="e">
        <f>AND(#REF!,"AAAAAFv5vLM=")</f>
        <v>#REF!</v>
      </c>
      <c r="FY21" t="e">
        <f>AND(#REF!,"AAAAAFv5vLQ=")</f>
        <v>#REF!</v>
      </c>
      <c r="FZ21" t="e">
        <f>AND(#REF!,"AAAAAFv5vLU=")</f>
        <v>#REF!</v>
      </c>
      <c r="GA21" t="e">
        <f>AND(#REF!,"AAAAAFv5vLY=")</f>
        <v>#REF!</v>
      </c>
      <c r="GB21" t="e">
        <f>AND(#REF!,"AAAAAFv5vLc=")</f>
        <v>#REF!</v>
      </c>
      <c r="GC21" t="e">
        <f>AND(#REF!,"AAAAAFv5vLg=")</f>
        <v>#REF!</v>
      </c>
      <c r="GD21" t="e">
        <f>AND(#REF!,"AAAAAFv5vLk=")</f>
        <v>#REF!</v>
      </c>
      <c r="GE21" t="e">
        <f>AND(#REF!,"AAAAAFv5vLo=")</f>
        <v>#REF!</v>
      </c>
      <c r="GF21" t="e">
        <f>AND(#REF!,"AAAAAFv5vLs=")</f>
        <v>#REF!</v>
      </c>
      <c r="GG21" t="e">
        <f>AND(#REF!,"AAAAAFv5vLw=")</f>
        <v>#REF!</v>
      </c>
      <c r="GH21" t="e">
        <f>IF(#REF!,"AAAAAFv5vL0=",0)</f>
        <v>#REF!</v>
      </c>
      <c r="GI21" t="e">
        <f>AND(#REF!,"AAAAAFv5vL4=")</f>
        <v>#REF!</v>
      </c>
      <c r="GJ21" t="e">
        <f>AND(#REF!,"AAAAAFv5vL8=")</f>
        <v>#REF!</v>
      </c>
      <c r="GK21" t="e">
        <f>AND(#REF!,"AAAAAFv5vMA=")</f>
        <v>#REF!</v>
      </c>
      <c r="GL21" t="e">
        <f>AND(#REF!,"AAAAAFv5vME=")</f>
        <v>#REF!</v>
      </c>
      <c r="GM21" t="e">
        <f>AND(#REF!,"AAAAAFv5vMI=")</f>
        <v>#REF!</v>
      </c>
      <c r="GN21" t="e">
        <f>AND(#REF!,"AAAAAFv5vMM=")</f>
        <v>#REF!</v>
      </c>
      <c r="GO21" t="e">
        <f>AND(#REF!,"AAAAAFv5vMQ=")</f>
        <v>#REF!</v>
      </c>
      <c r="GP21" t="e">
        <f>AND(#REF!,"AAAAAFv5vMU=")</f>
        <v>#REF!</v>
      </c>
      <c r="GQ21" t="e">
        <f>AND(#REF!,"AAAAAFv5vMY=")</f>
        <v>#REF!</v>
      </c>
      <c r="GR21" t="e">
        <f>AND(#REF!,"AAAAAFv5vMc=")</f>
        <v>#REF!</v>
      </c>
      <c r="GS21" t="e">
        <f>AND(#REF!,"AAAAAFv5vMg=")</f>
        <v>#REF!</v>
      </c>
      <c r="GT21" t="e">
        <f>AND(#REF!,"AAAAAFv5vMk=")</f>
        <v>#REF!</v>
      </c>
      <c r="GU21" t="e">
        <f>AND(#REF!,"AAAAAFv5vMo=")</f>
        <v>#REF!</v>
      </c>
      <c r="GV21" t="e">
        <f>AND(#REF!,"AAAAAFv5vMs=")</f>
        <v>#REF!</v>
      </c>
      <c r="GW21" t="e">
        <f>AND(#REF!,"AAAAAFv5vMw=")</f>
        <v>#REF!</v>
      </c>
      <c r="GX21" t="e">
        <f>AND(#REF!,"AAAAAFv5vM0=")</f>
        <v>#REF!</v>
      </c>
      <c r="GY21" t="e">
        <f>IF(#REF!,"AAAAAFv5vM4=",0)</f>
        <v>#REF!</v>
      </c>
      <c r="GZ21" t="e">
        <f>AND(#REF!,"AAAAAFv5vM8=")</f>
        <v>#REF!</v>
      </c>
      <c r="HA21" t="e">
        <f>AND(#REF!,"AAAAAFv5vNA=")</f>
        <v>#REF!</v>
      </c>
      <c r="HB21" t="e">
        <f>AND(#REF!,"AAAAAFv5vNE=")</f>
        <v>#REF!</v>
      </c>
      <c r="HC21" t="e">
        <f>AND(#REF!,"AAAAAFv5vNI=")</f>
        <v>#REF!</v>
      </c>
      <c r="HD21" t="e">
        <f>AND(#REF!,"AAAAAFv5vNM=")</f>
        <v>#REF!</v>
      </c>
      <c r="HE21" t="e">
        <f>AND(#REF!,"AAAAAFv5vNQ=")</f>
        <v>#REF!</v>
      </c>
      <c r="HF21" t="e">
        <f>AND(#REF!,"AAAAAFv5vNU=")</f>
        <v>#REF!</v>
      </c>
      <c r="HG21" t="e">
        <f>AND(#REF!,"AAAAAFv5vNY=")</f>
        <v>#REF!</v>
      </c>
      <c r="HH21" t="e">
        <f>AND(#REF!,"AAAAAFv5vNc=")</f>
        <v>#REF!</v>
      </c>
      <c r="HI21" t="e">
        <f>AND(#REF!,"AAAAAFv5vNg=")</f>
        <v>#REF!</v>
      </c>
      <c r="HJ21" t="e">
        <f>AND(#REF!,"AAAAAFv5vNk=")</f>
        <v>#REF!</v>
      </c>
      <c r="HK21" t="e">
        <f>AND(#REF!,"AAAAAFv5vNo=")</f>
        <v>#REF!</v>
      </c>
      <c r="HL21" t="e">
        <f>AND(#REF!,"AAAAAFv5vNs=")</f>
        <v>#REF!</v>
      </c>
      <c r="HM21" t="e">
        <f>AND(#REF!,"AAAAAFv5vNw=")</f>
        <v>#REF!</v>
      </c>
      <c r="HN21" t="e">
        <f>AND(#REF!,"AAAAAFv5vN0=")</f>
        <v>#REF!</v>
      </c>
      <c r="HO21" t="e">
        <f>AND(#REF!,"AAAAAFv5vN4=")</f>
        <v>#REF!</v>
      </c>
      <c r="HP21" t="e">
        <f>IF(#REF!,"AAAAAFv5vN8=",0)</f>
        <v>#REF!</v>
      </c>
      <c r="HQ21" t="e">
        <f>AND(#REF!,"AAAAAFv5vOA=")</f>
        <v>#REF!</v>
      </c>
      <c r="HR21" t="e">
        <f>AND(#REF!,"AAAAAFv5vOE=")</f>
        <v>#REF!</v>
      </c>
      <c r="HS21" t="e">
        <f>AND(#REF!,"AAAAAFv5vOI=")</f>
        <v>#REF!</v>
      </c>
      <c r="HT21" t="e">
        <f>AND(#REF!,"AAAAAFv5vOM=")</f>
        <v>#REF!</v>
      </c>
      <c r="HU21" t="e">
        <f>AND(#REF!,"AAAAAFv5vOQ=")</f>
        <v>#REF!</v>
      </c>
      <c r="HV21" t="e">
        <f>AND(#REF!,"AAAAAFv5vOU=")</f>
        <v>#REF!</v>
      </c>
      <c r="HW21" t="e">
        <f>AND(#REF!,"AAAAAFv5vOY=")</f>
        <v>#REF!</v>
      </c>
      <c r="HX21" t="e">
        <f>AND(#REF!,"AAAAAFv5vOc=")</f>
        <v>#REF!</v>
      </c>
      <c r="HY21" t="e">
        <f>AND(#REF!,"AAAAAFv5vOg=")</f>
        <v>#REF!</v>
      </c>
      <c r="HZ21" t="e">
        <f>AND(#REF!,"AAAAAFv5vOk=")</f>
        <v>#REF!</v>
      </c>
      <c r="IA21" t="e">
        <f>AND(#REF!,"AAAAAFv5vOo=")</f>
        <v>#REF!</v>
      </c>
      <c r="IB21" t="e">
        <f>AND(#REF!,"AAAAAFv5vOs=")</f>
        <v>#REF!</v>
      </c>
      <c r="IC21" t="e">
        <f>AND(#REF!,"AAAAAFv5vOw=")</f>
        <v>#REF!</v>
      </c>
      <c r="ID21" t="e">
        <f>AND(#REF!,"AAAAAFv5vO0=")</f>
        <v>#REF!</v>
      </c>
      <c r="IE21" t="e">
        <f>AND(#REF!,"AAAAAFv5vO4=")</f>
        <v>#REF!</v>
      </c>
      <c r="IF21" t="e">
        <f>AND(#REF!,"AAAAAFv5vO8=")</f>
        <v>#REF!</v>
      </c>
      <c r="IG21" t="e">
        <f>IF(#REF!,"AAAAAFv5vPA=",0)</f>
        <v>#REF!</v>
      </c>
      <c r="IH21" t="e">
        <f>AND(#REF!,"AAAAAFv5vPE=")</f>
        <v>#REF!</v>
      </c>
      <c r="II21" t="e">
        <f>AND(#REF!,"AAAAAFv5vPI=")</f>
        <v>#REF!</v>
      </c>
      <c r="IJ21" t="e">
        <f>AND(#REF!,"AAAAAFv5vPM=")</f>
        <v>#REF!</v>
      </c>
      <c r="IK21" t="e">
        <f>AND(#REF!,"AAAAAFv5vPQ=")</f>
        <v>#REF!</v>
      </c>
      <c r="IL21" t="e">
        <f>AND(#REF!,"AAAAAFv5vPU=")</f>
        <v>#REF!</v>
      </c>
      <c r="IM21" t="e">
        <f>AND(#REF!,"AAAAAFv5vPY=")</f>
        <v>#REF!</v>
      </c>
      <c r="IN21" t="e">
        <f>AND(#REF!,"AAAAAFv5vPc=")</f>
        <v>#REF!</v>
      </c>
      <c r="IO21" t="e">
        <f>AND(#REF!,"AAAAAFv5vPg=")</f>
        <v>#REF!</v>
      </c>
      <c r="IP21" t="e">
        <f>AND(#REF!,"AAAAAFv5vPk=")</f>
        <v>#REF!</v>
      </c>
      <c r="IQ21" t="e">
        <f>AND(#REF!,"AAAAAFv5vPo=")</f>
        <v>#REF!</v>
      </c>
      <c r="IR21" t="e">
        <f>AND(#REF!,"AAAAAFv5vPs=")</f>
        <v>#REF!</v>
      </c>
      <c r="IS21" t="e">
        <f>AND(#REF!,"AAAAAFv5vPw=")</f>
        <v>#REF!</v>
      </c>
      <c r="IT21" t="e">
        <f>AND(#REF!,"AAAAAFv5vP0=")</f>
        <v>#REF!</v>
      </c>
      <c r="IU21" t="e">
        <f>AND(#REF!,"AAAAAFv5vP4=")</f>
        <v>#REF!</v>
      </c>
      <c r="IV21" t="e">
        <f>AND(#REF!,"AAAAAFv5vP8=")</f>
        <v>#REF!</v>
      </c>
    </row>
    <row r="22" spans="1:256" ht="15">
      <c r="A22" t="e">
        <f>AND(#REF!,"AAAAAF/rfwA=")</f>
        <v>#REF!</v>
      </c>
      <c r="B22" t="e">
        <f>IF(#REF!,"AAAAAF/rfwE=",0)</f>
        <v>#REF!</v>
      </c>
      <c r="C22" t="e">
        <f>AND(#REF!,"AAAAAF/rfwI=")</f>
        <v>#REF!</v>
      </c>
      <c r="D22" t="e">
        <f>AND(#REF!,"AAAAAF/rfwM=")</f>
        <v>#REF!</v>
      </c>
      <c r="E22" t="e">
        <f>AND(#REF!,"AAAAAF/rfwQ=")</f>
        <v>#REF!</v>
      </c>
      <c r="F22" t="e">
        <f>AND(#REF!,"AAAAAF/rfwU=")</f>
        <v>#REF!</v>
      </c>
      <c r="G22" t="e">
        <f>AND(#REF!,"AAAAAF/rfwY=")</f>
        <v>#REF!</v>
      </c>
      <c r="H22" t="e">
        <f>AND(#REF!,"AAAAAF/rfwc=")</f>
        <v>#REF!</v>
      </c>
      <c r="I22" t="e">
        <f>AND(#REF!,"AAAAAF/rfwg=")</f>
        <v>#REF!</v>
      </c>
      <c r="J22" t="e">
        <f>AND(#REF!,"AAAAAF/rfwk=")</f>
        <v>#REF!</v>
      </c>
      <c r="K22" t="e">
        <f>AND(#REF!,"AAAAAF/rfwo=")</f>
        <v>#REF!</v>
      </c>
      <c r="L22" t="e">
        <f>AND(#REF!,"AAAAAF/rfws=")</f>
        <v>#REF!</v>
      </c>
      <c r="M22" t="e">
        <f>AND(#REF!,"AAAAAF/rfww=")</f>
        <v>#REF!</v>
      </c>
      <c r="N22" t="e">
        <f>AND(#REF!,"AAAAAF/rfw0=")</f>
        <v>#REF!</v>
      </c>
      <c r="O22" t="e">
        <f>AND(#REF!,"AAAAAF/rfw4=")</f>
        <v>#REF!</v>
      </c>
      <c r="P22" t="e">
        <f>AND(#REF!,"AAAAAF/rfw8=")</f>
        <v>#REF!</v>
      </c>
      <c r="Q22" t="e">
        <f>AND(#REF!,"AAAAAF/rfxA=")</f>
        <v>#REF!</v>
      </c>
      <c r="R22" t="e">
        <f>AND(#REF!,"AAAAAF/rfxE=")</f>
        <v>#REF!</v>
      </c>
      <c r="S22" t="e">
        <f>IF(#REF!,"AAAAAF/rfxI=",0)</f>
        <v>#REF!</v>
      </c>
      <c r="T22" t="e">
        <f>AND(#REF!,"AAAAAF/rfxM=")</f>
        <v>#REF!</v>
      </c>
      <c r="U22" t="e">
        <f>AND(#REF!,"AAAAAF/rfxQ=")</f>
        <v>#REF!</v>
      </c>
      <c r="V22" t="e">
        <f>AND(#REF!,"AAAAAF/rfxU=")</f>
        <v>#REF!</v>
      </c>
      <c r="W22" t="e">
        <f>AND(#REF!,"AAAAAF/rfxY=")</f>
        <v>#REF!</v>
      </c>
      <c r="X22" t="e">
        <f>AND(#REF!,"AAAAAF/rfxc=")</f>
        <v>#REF!</v>
      </c>
      <c r="Y22" t="e">
        <f>AND(#REF!,"AAAAAF/rfxg=")</f>
        <v>#REF!</v>
      </c>
      <c r="Z22" t="e">
        <f>AND(#REF!,"AAAAAF/rfxk=")</f>
        <v>#REF!</v>
      </c>
      <c r="AA22" t="e">
        <f>AND(#REF!,"AAAAAF/rfxo=")</f>
        <v>#REF!</v>
      </c>
      <c r="AB22" t="e">
        <f>AND(#REF!,"AAAAAF/rfxs=")</f>
        <v>#REF!</v>
      </c>
      <c r="AC22" t="e">
        <f>AND(#REF!,"AAAAAF/rfxw=")</f>
        <v>#REF!</v>
      </c>
      <c r="AD22" t="e">
        <f>AND(#REF!,"AAAAAF/rfx0=")</f>
        <v>#REF!</v>
      </c>
      <c r="AE22" t="e">
        <f>AND(#REF!,"AAAAAF/rfx4=")</f>
        <v>#REF!</v>
      </c>
      <c r="AF22" t="e">
        <f>AND(#REF!,"AAAAAF/rfx8=")</f>
        <v>#REF!</v>
      </c>
      <c r="AG22" t="e">
        <f>AND(#REF!,"AAAAAF/rfyA=")</f>
        <v>#REF!</v>
      </c>
      <c r="AH22" t="e">
        <f>AND(#REF!,"AAAAAF/rfyE=")</f>
        <v>#REF!</v>
      </c>
      <c r="AI22" t="e">
        <f>AND(#REF!,"AAAAAF/rfyI=")</f>
        <v>#REF!</v>
      </c>
      <c r="AJ22" t="e">
        <f>IF(#REF!,"AAAAAF/rfyM=",0)</f>
        <v>#REF!</v>
      </c>
      <c r="AK22" t="e">
        <f>AND(#REF!,"AAAAAF/rfyQ=")</f>
        <v>#REF!</v>
      </c>
      <c r="AL22" t="e">
        <f>AND(#REF!,"AAAAAF/rfyU=")</f>
        <v>#REF!</v>
      </c>
      <c r="AM22" t="e">
        <f>AND(#REF!,"AAAAAF/rfyY=")</f>
        <v>#REF!</v>
      </c>
      <c r="AN22" t="e">
        <f>AND(#REF!,"AAAAAF/rfyc=")</f>
        <v>#REF!</v>
      </c>
      <c r="AO22" t="e">
        <f>AND(#REF!,"AAAAAF/rfyg=")</f>
        <v>#REF!</v>
      </c>
      <c r="AP22" t="e">
        <f>AND(#REF!,"AAAAAF/rfyk=")</f>
        <v>#REF!</v>
      </c>
      <c r="AQ22" t="e">
        <f>AND(#REF!,"AAAAAF/rfyo=")</f>
        <v>#REF!</v>
      </c>
      <c r="AR22" t="e">
        <f>AND(#REF!,"AAAAAF/rfys=")</f>
        <v>#REF!</v>
      </c>
      <c r="AS22" t="e">
        <f>AND(#REF!,"AAAAAF/rfyw=")</f>
        <v>#REF!</v>
      </c>
      <c r="AT22" t="e">
        <f>AND(#REF!,"AAAAAF/rfy0=")</f>
        <v>#REF!</v>
      </c>
      <c r="AU22" t="e">
        <f>AND(#REF!,"AAAAAF/rfy4=")</f>
        <v>#REF!</v>
      </c>
      <c r="AV22" t="e">
        <f>AND(#REF!,"AAAAAF/rfy8=")</f>
        <v>#REF!</v>
      </c>
      <c r="AW22" t="e">
        <f>AND(#REF!,"AAAAAF/rfzA=")</f>
        <v>#REF!</v>
      </c>
      <c r="AX22" t="e">
        <f>AND(#REF!,"AAAAAF/rfzE=")</f>
        <v>#REF!</v>
      </c>
      <c r="AY22" t="e">
        <f>AND(#REF!,"AAAAAF/rfzI=")</f>
        <v>#REF!</v>
      </c>
      <c r="AZ22" t="e">
        <f>AND(#REF!,"AAAAAF/rfzM=")</f>
        <v>#REF!</v>
      </c>
      <c r="BA22" t="e">
        <f>IF(#REF!,"AAAAAF/rfzQ=",0)</f>
        <v>#REF!</v>
      </c>
      <c r="BB22" t="e">
        <f>AND(#REF!,"AAAAAF/rfzU=")</f>
        <v>#REF!</v>
      </c>
      <c r="BC22" t="e">
        <f>AND(#REF!,"AAAAAF/rfzY=")</f>
        <v>#REF!</v>
      </c>
      <c r="BD22" t="e">
        <f>AND(#REF!,"AAAAAF/rfzc=")</f>
        <v>#REF!</v>
      </c>
      <c r="BE22" t="e">
        <f>AND(#REF!,"AAAAAF/rfzg=")</f>
        <v>#REF!</v>
      </c>
      <c r="BF22" t="e">
        <f>AND(#REF!,"AAAAAF/rfzk=")</f>
        <v>#REF!</v>
      </c>
      <c r="BG22" t="e">
        <f>AND(#REF!,"AAAAAF/rfzo=")</f>
        <v>#REF!</v>
      </c>
      <c r="BH22" t="e">
        <f>AND(#REF!,"AAAAAF/rfzs=")</f>
        <v>#REF!</v>
      </c>
      <c r="BI22" t="e">
        <f>AND(#REF!,"AAAAAF/rfzw=")</f>
        <v>#REF!</v>
      </c>
      <c r="BJ22" t="e">
        <f>AND(#REF!,"AAAAAF/rfz0=")</f>
        <v>#REF!</v>
      </c>
      <c r="BK22" t="e">
        <f>AND(#REF!,"AAAAAF/rfz4=")</f>
        <v>#REF!</v>
      </c>
      <c r="BL22" t="e">
        <f>AND(#REF!,"AAAAAF/rfz8=")</f>
        <v>#REF!</v>
      </c>
      <c r="BM22" t="e">
        <f>AND(#REF!,"AAAAAF/rf0A=")</f>
        <v>#REF!</v>
      </c>
      <c r="BN22" t="e">
        <f>AND(#REF!,"AAAAAF/rf0E=")</f>
        <v>#REF!</v>
      </c>
      <c r="BO22" t="e">
        <f>AND(#REF!,"AAAAAF/rf0I=")</f>
        <v>#REF!</v>
      </c>
      <c r="BP22" t="e">
        <f>AND(#REF!,"AAAAAF/rf0M=")</f>
        <v>#REF!</v>
      </c>
      <c r="BQ22" t="e">
        <f>AND(#REF!,"AAAAAF/rf0Q=")</f>
        <v>#REF!</v>
      </c>
      <c r="BR22" t="e">
        <f>IF(#REF!,"AAAAAF/rf0U=",0)</f>
        <v>#REF!</v>
      </c>
      <c r="BS22" t="e">
        <f>AND(#REF!,"AAAAAF/rf0Y=")</f>
        <v>#REF!</v>
      </c>
      <c r="BT22" t="e">
        <f>AND(#REF!,"AAAAAF/rf0c=")</f>
        <v>#REF!</v>
      </c>
      <c r="BU22" t="e">
        <f>AND(#REF!,"AAAAAF/rf0g=")</f>
        <v>#REF!</v>
      </c>
      <c r="BV22" t="e">
        <f>AND(#REF!,"AAAAAF/rf0k=")</f>
        <v>#REF!</v>
      </c>
      <c r="BW22" t="e">
        <f>AND(#REF!,"AAAAAF/rf0o=")</f>
        <v>#REF!</v>
      </c>
      <c r="BX22" t="e">
        <f>AND(#REF!,"AAAAAF/rf0s=")</f>
        <v>#REF!</v>
      </c>
      <c r="BY22" t="e">
        <f>AND(#REF!,"AAAAAF/rf0w=")</f>
        <v>#REF!</v>
      </c>
      <c r="BZ22" t="e">
        <f>AND(#REF!,"AAAAAF/rf00=")</f>
        <v>#REF!</v>
      </c>
      <c r="CA22" t="e">
        <f>AND(#REF!,"AAAAAF/rf04=")</f>
        <v>#REF!</v>
      </c>
      <c r="CB22" t="e">
        <f>AND(#REF!,"AAAAAF/rf08=")</f>
        <v>#REF!</v>
      </c>
      <c r="CC22" t="e">
        <f>AND(#REF!,"AAAAAF/rf1A=")</f>
        <v>#REF!</v>
      </c>
      <c r="CD22" t="e">
        <f>AND(#REF!,"AAAAAF/rf1E=")</f>
        <v>#REF!</v>
      </c>
      <c r="CE22" t="e">
        <f>AND(#REF!,"AAAAAF/rf1I=")</f>
        <v>#REF!</v>
      </c>
      <c r="CF22" t="e">
        <f>AND(#REF!,"AAAAAF/rf1M=")</f>
        <v>#REF!</v>
      </c>
      <c r="CG22" t="e">
        <f>AND(#REF!,"AAAAAF/rf1Q=")</f>
        <v>#REF!</v>
      </c>
      <c r="CH22" t="e">
        <f>AND(#REF!,"AAAAAF/rf1U=")</f>
        <v>#REF!</v>
      </c>
      <c r="CI22" t="e">
        <f>IF(#REF!,"AAAAAF/rf1Y=",0)</f>
        <v>#REF!</v>
      </c>
      <c r="CJ22" t="e">
        <f>AND(#REF!,"AAAAAF/rf1c=")</f>
        <v>#REF!</v>
      </c>
      <c r="CK22" t="e">
        <f>AND(#REF!,"AAAAAF/rf1g=")</f>
        <v>#REF!</v>
      </c>
      <c r="CL22" t="e">
        <f>AND(#REF!,"AAAAAF/rf1k=")</f>
        <v>#REF!</v>
      </c>
      <c r="CM22" t="e">
        <f>AND(#REF!,"AAAAAF/rf1o=")</f>
        <v>#REF!</v>
      </c>
      <c r="CN22" t="e">
        <f>AND(#REF!,"AAAAAF/rf1s=")</f>
        <v>#REF!</v>
      </c>
      <c r="CO22" t="e">
        <f>AND(#REF!,"AAAAAF/rf1w=")</f>
        <v>#REF!</v>
      </c>
      <c r="CP22" t="e">
        <f>AND(#REF!,"AAAAAF/rf10=")</f>
        <v>#REF!</v>
      </c>
      <c r="CQ22" t="e">
        <f>AND(#REF!,"AAAAAF/rf14=")</f>
        <v>#REF!</v>
      </c>
      <c r="CR22" t="e">
        <f>AND(#REF!,"AAAAAF/rf18=")</f>
        <v>#REF!</v>
      </c>
      <c r="CS22" t="e">
        <f>AND(#REF!,"AAAAAF/rf2A=")</f>
        <v>#REF!</v>
      </c>
      <c r="CT22" t="e">
        <f>AND(#REF!,"AAAAAF/rf2E=")</f>
        <v>#REF!</v>
      </c>
      <c r="CU22" t="e">
        <f>AND(#REF!,"AAAAAF/rf2I=")</f>
        <v>#REF!</v>
      </c>
      <c r="CV22" t="e">
        <f>AND(#REF!,"AAAAAF/rf2M=")</f>
        <v>#REF!</v>
      </c>
      <c r="CW22" t="e">
        <f>AND(#REF!,"AAAAAF/rf2Q=")</f>
        <v>#REF!</v>
      </c>
      <c r="CX22" t="e">
        <f>AND(#REF!,"AAAAAF/rf2U=")</f>
        <v>#REF!</v>
      </c>
      <c r="CY22" t="e">
        <f>AND(#REF!,"AAAAAF/rf2Y=")</f>
        <v>#REF!</v>
      </c>
      <c r="CZ22" t="e">
        <f>IF(#REF!,"AAAAAF/rf2c=",0)</f>
        <v>#REF!</v>
      </c>
      <c r="DA22" t="e">
        <f>AND(#REF!,"AAAAAF/rf2g=")</f>
        <v>#REF!</v>
      </c>
      <c r="DB22" t="e">
        <f>AND(#REF!,"AAAAAF/rf2k=")</f>
        <v>#REF!</v>
      </c>
      <c r="DC22" t="e">
        <f>AND(#REF!,"AAAAAF/rf2o=")</f>
        <v>#REF!</v>
      </c>
      <c r="DD22" t="e">
        <f>AND(#REF!,"AAAAAF/rf2s=")</f>
        <v>#REF!</v>
      </c>
      <c r="DE22" t="e">
        <f>AND(#REF!,"AAAAAF/rf2w=")</f>
        <v>#REF!</v>
      </c>
      <c r="DF22" t="e">
        <f>AND(#REF!,"AAAAAF/rf20=")</f>
        <v>#REF!</v>
      </c>
      <c r="DG22" t="e">
        <f>AND(#REF!,"AAAAAF/rf24=")</f>
        <v>#REF!</v>
      </c>
      <c r="DH22" t="e">
        <f>AND(#REF!,"AAAAAF/rf28=")</f>
        <v>#REF!</v>
      </c>
      <c r="DI22" t="e">
        <f>AND(#REF!,"AAAAAF/rf3A=")</f>
        <v>#REF!</v>
      </c>
      <c r="DJ22" t="e">
        <f>AND(#REF!,"AAAAAF/rf3E=")</f>
        <v>#REF!</v>
      </c>
      <c r="DK22" t="e">
        <f>AND(#REF!,"AAAAAF/rf3I=")</f>
        <v>#REF!</v>
      </c>
      <c r="DL22" t="e">
        <f>AND(#REF!,"AAAAAF/rf3M=")</f>
        <v>#REF!</v>
      </c>
      <c r="DM22" t="e">
        <f>AND(#REF!,"AAAAAF/rf3Q=")</f>
        <v>#REF!</v>
      </c>
      <c r="DN22" t="e">
        <f>AND(#REF!,"AAAAAF/rf3U=")</f>
        <v>#REF!</v>
      </c>
      <c r="DO22" t="e">
        <f>AND(#REF!,"AAAAAF/rf3Y=")</f>
        <v>#REF!</v>
      </c>
      <c r="DP22" t="e">
        <f>AND(#REF!,"AAAAAF/rf3c=")</f>
        <v>#REF!</v>
      </c>
      <c r="DQ22" t="e">
        <f>IF(#REF!,"AAAAAF/rf3g=",0)</f>
        <v>#REF!</v>
      </c>
      <c r="DR22" t="e">
        <f>AND(#REF!,"AAAAAF/rf3k=")</f>
        <v>#REF!</v>
      </c>
      <c r="DS22" t="e">
        <f>AND(#REF!,"AAAAAF/rf3o=")</f>
        <v>#REF!</v>
      </c>
      <c r="DT22" t="e">
        <f>AND(#REF!,"AAAAAF/rf3s=")</f>
        <v>#REF!</v>
      </c>
      <c r="DU22" t="e">
        <f>AND(#REF!,"AAAAAF/rf3w=")</f>
        <v>#REF!</v>
      </c>
      <c r="DV22" t="e">
        <f>AND(#REF!,"AAAAAF/rf30=")</f>
        <v>#REF!</v>
      </c>
      <c r="DW22" t="e">
        <f>AND(#REF!,"AAAAAF/rf34=")</f>
        <v>#REF!</v>
      </c>
      <c r="DX22" t="e">
        <f>AND(#REF!,"AAAAAF/rf38=")</f>
        <v>#REF!</v>
      </c>
      <c r="DY22" t="e">
        <f>AND(#REF!,"AAAAAF/rf4A=")</f>
        <v>#REF!</v>
      </c>
      <c r="DZ22" t="e">
        <f>AND(#REF!,"AAAAAF/rf4E=")</f>
        <v>#REF!</v>
      </c>
      <c r="EA22" t="e">
        <f>AND(#REF!,"AAAAAF/rf4I=")</f>
        <v>#REF!</v>
      </c>
      <c r="EB22" t="e">
        <f>AND(#REF!,"AAAAAF/rf4M=")</f>
        <v>#REF!</v>
      </c>
      <c r="EC22" t="e">
        <f>AND(#REF!,"AAAAAF/rf4Q=")</f>
        <v>#REF!</v>
      </c>
      <c r="ED22" t="e">
        <f>AND(#REF!,"AAAAAF/rf4U=")</f>
        <v>#REF!</v>
      </c>
      <c r="EE22" t="e">
        <f>AND(#REF!,"AAAAAF/rf4Y=")</f>
        <v>#REF!</v>
      </c>
      <c r="EF22" t="e">
        <f>AND(#REF!,"AAAAAF/rf4c=")</f>
        <v>#REF!</v>
      </c>
      <c r="EG22" t="e">
        <f>AND(#REF!,"AAAAAF/rf4g=")</f>
        <v>#REF!</v>
      </c>
      <c r="EH22" t="e">
        <f>IF(#REF!,"AAAAAF/rf4k=",0)</f>
        <v>#REF!</v>
      </c>
      <c r="EI22" t="e">
        <f>AND(#REF!,"AAAAAF/rf4o=")</f>
        <v>#REF!</v>
      </c>
      <c r="EJ22" t="e">
        <f>AND(#REF!,"AAAAAF/rf4s=")</f>
        <v>#REF!</v>
      </c>
      <c r="EK22" t="e">
        <f>AND(#REF!,"AAAAAF/rf4w=")</f>
        <v>#REF!</v>
      </c>
      <c r="EL22" t="e">
        <f>AND(#REF!,"AAAAAF/rf40=")</f>
        <v>#REF!</v>
      </c>
      <c r="EM22" t="e">
        <f>AND(#REF!,"AAAAAF/rf44=")</f>
        <v>#REF!</v>
      </c>
      <c r="EN22" t="e">
        <f>AND(#REF!,"AAAAAF/rf48=")</f>
        <v>#REF!</v>
      </c>
      <c r="EO22" t="e">
        <f>AND(#REF!,"AAAAAF/rf5A=")</f>
        <v>#REF!</v>
      </c>
      <c r="EP22" t="e">
        <f>AND(#REF!,"AAAAAF/rf5E=")</f>
        <v>#REF!</v>
      </c>
      <c r="EQ22" t="e">
        <f>AND(#REF!,"AAAAAF/rf5I=")</f>
        <v>#REF!</v>
      </c>
      <c r="ER22" t="e">
        <f>AND(#REF!,"AAAAAF/rf5M=")</f>
        <v>#REF!</v>
      </c>
      <c r="ES22" t="e">
        <f>AND(#REF!,"AAAAAF/rf5Q=")</f>
        <v>#REF!</v>
      </c>
      <c r="ET22" t="e">
        <f>AND(#REF!,"AAAAAF/rf5U=")</f>
        <v>#REF!</v>
      </c>
      <c r="EU22" t="e">
        <f>AND(#REF!,"AAAAAF/rf5Y=")</f>
        <v>#REF!</v>
      </c>
      <c r="EV22" t="e">
        <f>AND(#REF!,"AAAAAF/rf5c=")</f>
        <v>#REF!</v>
      </c>
      <c r="EW22" t="e">
        <f>AND(#REF!,"AAAAAF/rf5g=")</f>
        <v>#REF!</v>
      </c>
      <c r="EX22" t="e">
        <f>AND(#REF!,"AAAAAF/rf5k=")</f>
        <v>#REF!</v>
      </c>
      <c r="EY22" t="e">
        <f>IF(#REF!,"AAAAAF/rf5o=",0)</f>
        <v>#REF!</v>
      </c>
      <c r="EZ22" t="e">
        <f>IF(#REF!,"AAAAAF/rf5s=",0)</f>
        <v>#REF!</v>
      </c>
      <c r="FA22" t="e">
        <f>IF(#REF!,"AAAAAF/rf5w=",0)</f>
        <v>#REF!</v>
      </c>
      <c r="FB22" t="e">
        <f>IF(#REF!,"AAAAAF/rf50=",0)</f>
        <v>#REF!</v>
      </c>
      <c r="FC22" t="e">
        <f>IF(#REF!,"AAAAAF/rf54=",0)</f>
        <v>#REF!</v>
      </c>
      <c r="FD22" t="e">
        <f>IF(#REF!,"AAAAAF/rf58=",0)</f>
        <v>#REF!</v>
      </c>
      <c r="FE22" t="e">
        <f>IF(#REF!,"AAAAAF/rf6A=",0)</f>
        <v>#REF!</v>
      </c>
      <c r="FF22" t="e">
        <f>IF(#REF!,"AAAAAF/rf6E=",0)</f>
        <v>#REF!</v>
      </c>
      <c r="FG22" t="e">
        <f>IF(#REF!,"AAAAAF/rf6I=",0)</f>
        <v>#REF!</v>
      </c>
      <c r="FH22" t="e">
        <f>IF(#REF!,"AAAAAF/rf6M=",0)</f>
        <v>#REF!</v>
      </c>
      <c r="FI22" t="e">
        <f>IF(#REF!,"AAAAAF/rf6Q=",0)</f>
        <v>#REF!</v>
      </c>
      <c r="FJ22" t="e">
        <f>IF(#REF!,"AAAAAF/rf6U=",0)</f>
        <v>#REF!</v>
      </c>
      <c r="FK22" t="e">
        <f>IF(#REF!,"AAAAAF/rf6Y=",0)</f>
        <v>#REF!</v>
      </c>
      <c r="FL22" t="e">
        <f>IF(#REF!,"AAAAAF/rf6c=",0)</f>
        <v>#REF!</v>
      </c>
      <c r="FM22" t="e">
        <f>IF(#REF!,"AAAAAF/rf6g=",0)</f>
        <v>#REF!</v>
      </c>
      <c r="FN22" t="e">
        <f>IF(#REF!,"AAAAAF/rf6k=",0)</f>
        <v>#REF!</v>
      </c>
      <c r="FO22" t="e">
        <f>IF(#REF!,"AAAAAF/rf6o=",0)</f>
        <v>#REF!</v>
      </c>
      <c r="FP22" t="e">
        <f>IF(#REF!,"AAAAAF/rf6s=",0)</f>
        <v>#REF!</v>
      </c>
      <c r="FQ22" t="e">
        <f>IF(#REF!,"AAAAAF/rf6w=",0)</f>
        <v>#REF!</v>
      </c>
      <c r="FR22" t="e">
        <f>IF(#REF!,"AAAAAF/rf60=",0)</f>
        <v>#REF!</v>
      </c>
      <c r="FS22" t="e">
        <f>IF(#REF!,"AAAAAF/rf64=",0)</f>
        <v>#REF!</v>
      </c>
      <c r="FT22" t="e">
        <f>IF(#REF!,"AAAAAF/rf68=",0)</f>
        <v>#REF!</v>
      </c>
      <c r="FU22" t="e">
        <f>IF(#REF!,"AAAAAF/rf7A=",0)</f>
        <v>#REF!</v>
      </c>
      <c r="FV22" t="e">
        <f>IF(#REF!,"AAAAAF/rf7E=",0)</f>
        <v>#REF!</v>
      </c>
      <c r="FW22" t="e">
        <f>IF(#REF!,"AAAAAF/rf7I=",0)</f>
        <v>#REF!</v>
      </c>
      <c r="FX22" t="e">
        <f>IF(#REF!,"AAAAAF/rf7M=",0)</f>
        <v>#REF!</v>
      </c>
      <c r="FY22" t="e">
        <f>IF(#REF!,"AAAAAF/rf7Q=",0)</f>
        <v>#REF!</v>
      </c>
      <c r="FZ22" t="e">
        <f>IF(#REF!,"AAAAAF/rf7U=",0)</f>
        <v>#REF!</v>
      </c>
      <c r="GA22" t="e">
        <f>AND(#REF!,"AAAAAF/rf7Y=")</f>
        <v>#REF!</v>
      </c>
      <c r="GB22" t="e">
        <f>AND(#REF!,"AAAAAF/rf7c=")</f>
        <v>#REF!</v>
      </c>
      <c r="GC22" t="e">
        <f>AND(#REF!,"AAAAAF/rf7g=")</f>
        <v>#REF!</v>
      </c>
      <c r="GD22" t="e">
        <f>AND(#REF!,"AAAAAF/rf7k=")</f>
        <v>#REF!</v>
      </c>
      <c r="GE22" t="e">
        <f>AND(#REF!,"AAAAAF/rf7o=")</f>
        <v>#REF!</v>
      </c>
      <c r="GF22" t="e">
        <f>AND(#REF!,"AAAAAF/rf7s=")</f>
        <v>#REF!</v>
      </c>
      <c r="GG22" t="e">
        <f>AND(#REF!,"AAAAAF/rf7w=")</f>
        <v>#REF!</v>
      </c>
      <c r="GH22" t="e">
        <f>AND(#REF!,"AAAAAF/rf70=")</f>
        <v>#REF!</v>
      </c>
      <c r="GI22" t="e">
        <f>AND(#REF!,"AAAAAF/rf74=")</f>
        <v>#REF!</v>
      </c>
      <c r="GJ22" t="e">
        <f>AND(#REF!,"AAAAAF/rf78=")</f>
        <v>#REF!</v>
      </c>
      <c r="GK22" t="e">
        <f>AND(#REF!,"AAAAAF/rf8A=")</f>
        <v>#REF!</v>
      </c>
      <c r="GL22" t="e">
        <f>AND(#REF!,"AAAAAF/rf8E=")</f>
        <v>#REF!</v>
      </c>
      <c r="GM22" t="e">
        <f>AND(#REF!,"AAAAAF/rf8I=")</f>
        <v>#REF!</v>
      </c>
      <c r="GN22" t="e">
        <f>IF(#REF!,"AAAAAF/rf8M=",0)</f>
        <v>#REF!</v>
      </c>
      <c r="GO22" t="e">
        <f>AND(#REF!,"AAAAAF/rf8Q=")</f>
        <v>#REF!</v>
      </c>
      <c r="GP22" t="e">
        <f>AND(#REF!,"AAAAAF/rf8U=")</f>
        <v>#REF!</v>
      </c>
      <c r="GQ22" t="e">
        <f>AND(#REF!,"AAAAAF/rf8Y=")</f>
        <v>#REF!</v>
      </c>
      <c r="GR22" t="e">
        <f>AND(#REF!,"AAAAAF/rf8c=")</f>
        <v>#REF!</v>
      </c>
      <c r="GS22" t="e">
        <f>AND(#REF!,"AAAAAF/rf8g=")</f>
        <v>#REF!</v>
      </c>
      <c r="GT22" t="e">
        <f>AND(#REF!,"AAAAAF/rf8k=")</f>
        <v>#REF!</v>
      </c>
      <c r="GU22" t="e">
        <f>AND(#REF!,"AAAAAF/rf8o=")</f>
        <v>#REF!</v>
      </c>
      <c r="GV22" t="e">
        <f>AND(#REF!,"AAAAAF/rf8s=")</f>
        <v>#REF!</v>
      </c>
      <c r="GW22" t="e">
        <f>AND(#REF!,"AAAAAF/rf8w=")</f>
        <v>#REF!</v>
      </c>
      <c r="GX22" t="e">
        <f>AND(#REF!,"AAAAAF/rf80=")</f>
        <v>#REF!</v>
      </c>
      <c r="GY22" t="e">
        <f>AND(#REF!,"AAAAAF/rf84=")</f>
        <v>#REF!</v>
      </c>
      <c r="GZ22" t="e">
        <f>AND(#REF!,"AAAAAF/rf88=")</f>
        <v>#REF!</v>
      </c>
      <c r="HA22" t="e">
        <f>AND(#REF!,"AAAAAF/rf9A=")</f>
        <v>#REF!</v>
      </c>
      <c r="HB22" t="e">
        <f>IF(#REF!,"AAAAAF/rf9E=",0)</f>
        <v>#REF!</v>
      </c>
      <c r="HC22" t="e">
        <f>AND(#REF!,"AAAAAF/rf9I=")</f>
        <v>#REF!</v>
      </c>
      <c r="HD22" t="e">
        <f>AND(#REF!,"AAAAAF/rf9M=")</f>
        <v>#REF!</v>
      </c>
      <c r="HE22" t="e">
        <f>AND(#REF!,"AAAAAF/rf9Q=")</f>
        <v>#REF!</v>
      </c>
      <c r="HF22" t="e">
        <f>AND(#REF!,"AAAAAF/rf9U=")</f>
        <v>#REF!</v>
      </c>
      <c r="HG22" t="e">
        <f>AND(#REF!,"AAAAAF/rf9Y=")</f>
        <v>#REF!</v>
      </c>
      <c r="HH22" t="e">
        <f>AND(#REF!,"AAAAAF/rf9c=")</f>
        <v>#REF!</v>
      </c>
      <c r="HI22" t="e">
        <f>AND(#REF!,"AAAAAF/rf9g=")</f>
        <v>#REF!</v>
      </c>
      <c r="HJ22" t="e">
        <f>AND(#REF!,"AAAAAF/rf9k=")</f>
        <v>#REF!</v>
      </c>
      <c r="HK22" t="e">
        <f>AND(#REF!,"AAAAAF/rf9o=")</f>
        <v>#REF!</v>
      </c>
      <c r="HL22" t="e">
        <f>AND(#REF!,"AAAAAF/rf9s=")</f>
        <v>#REF!</v>
      </c>
      <c r="HM22" t="e">
        <f>AND(#REF!,"AAAAAF/rf9w=")</f>
        <v>#REF!</v>
      </c>
      <c r="HN22" t="e">
        <f>AND(#REF!,"AAAAAF/rf90=")</f>
        <v>#REF!</v>
      </c>
      <c r="HO22" t="e">
        <f>AND(#REF!,"AAAAAF/rf94=")</f>
        <v>#REF!</v>
      </c>
      <c r="HP22" t="e">
        <f>IF(#REF!,"AAAAAF/rf98=",0)</f>
        <v>#REF!</v>
      </c>
      <c r="HQ22" t="e">
        <f>AND(#REF!,"AAAAAF/rf+A=")</f>
        <v>#REF!</v>
      </c>
      <c r="HR22" t="e">
        <f>AND(#REF!,"AAAAAF/rf+E=")</f>
        <v>#REF!</v>
      </c>
      <c r="HS22" t="e">
        <f>AND(#REF!,"AAAAAF/rf+I=")</f>
        <v>#REF!</v>
      </c>
      <c r="HT22" t="e">
        <f>AND(#REF!,"AAAAAF/rf+M=")</f>
        <v>#REF!</v>
      </c>
      <c r="HU22" t="e">
        <f>AND(#REF!,"AAAAAF/rf+Q=")</f>
        <v>#REF!</v>
      </c>
      <c r="HV22" t="e">
        <f>AND(#REF!,"AAAAAF/rf+U=")</f>
        <v>#REF!</v>
      </c>
      <c r="HW22" t="e">
        <f>AND(#REF!,"AAAAAF/rf+Y=")</f>
        <v>#REF!</v>
      </c>
      <c r="HX22" t="e">
        <f>AND(#REF!,"AAAAAF/rf+c=")</f>
        <v>#REF!</v>
      </c>
      <c r="HY22" t="e">
        <f>AND(#REF!,"AAAAAF/rf+g=")</f>
        <v>#REF!</v>
      </c>
      <c r="HZ22" t="e">
        <f>AND(#REF!,"AAAAAF/rf+k=")</f>
        <v>#REF!</v>
      </c>
      <c r="IA22" t="e">
        <f>AND(#REF!,"AAAAAF/rf+o=")</f>
        <v>#REF!</v>
      </c>
      <c r="IB22" t="e">
        <f>AND(#REF!,"AAAAAF/rf+s=")</f>
        <v>#REF!</v>
      </c>
      <c r="IC22" t="e">
        <f>AND(#REF!,"AAAAAF/rf+w=")</f>
        <v>#REF!</v>
      </c>
      <c r="ID22" t="e">
        <f>IF(#REF!,"AAAAAF/rf+0=",0)</f>
        <v>#REF!</v>
      </c>
      <c r="IE22" t="e">
        <f>AND(#REF!,"AAAAAF/rf+4=")</f>
        <v>#REF!</v>
      </c>
      <c r="IF22" t="e">
        <f>AND(#REF!,"AAAAAF/rf+8=")</f>
        <v>#REF!</v>
      </c>
      <c r="IG22" t="e">
        <f>AND(#REF!,"AAAAAF/rf/A=")</f>
        <v>#REF!</v>
      </c>
      <c r="IH22" t="e">
        <f>AND(#REF!,"AAAAAF/rf/E=")</f>
        <v>#REF!</v>
      </c>
      <c r="II22" t="e">
        <f>AND(#REF!,"AAAAAF/rf/I=")</f>
        <v>#REF!</v>
      </c>
      <c r="IJ22" t="e">
        <f>AND(#REF!,"AAAAAF/rf/M=")</f>
        <v>#REF!</v>
      </c>
      <c r="IK22" t="e">
        <f>AND(#REF!,"AAAAAF/rf/Q=")</f>
        <v>#REF!</v>
      </c>
      <c r="IL22" t="e">
        <f>AND(#REF!,"AAAAAF/rf/U=")</f>
        <v>#REF!</v>
      </c>
      <c r="IM22" t="e">
        <f>AND(#REF!,"AAAAAF/rf/Y=")</f>
        <v>#REF!</v>
      </c>
      <c r="IN22" t="e">
        <f>AND(#REF!,"AAAAAF/rf/c=")</f>
        <v>#REF!</v>
      </c>
      <c r="IO22" t="e">
        <f>AND(#REF!,"AAAAAF/rf/g=")</f>
        <v>#REF!</v>
      </c>
      <c r="IP22" t="e">
        <f>AND(#REF!,"AAAAAF/rf/k=")</f>
        <v>#REF!</v>
      </c>
      <c r="IQ22" t="e">
        <f>AND(#REF!,"AAAAAF/rf/o=")</f>
        <v>#REF!</v>
      </c>
      <c r="IR22" t="e">
        <f>IF(#REF!,"AAAAAF/rf/s=",0)</f>
        <v>#REF!</v>
      </c>
      <c r="IS22" t="e">
        <f>AND(#REF!,"AAAAAF/rf/w=")</f>
        <v>#REF!</v>
      </c>
      <c r="IT22" t="e">
        <f>AND(#REF!,"AAAAAF/rf/0=")</f>
        <v>#REF!</v>
      </c>
      <c r="IU22" t="e">
        <f>AND(#REF!,"AAAAAF/rf/4=")</f>
        <v>#REF!</v>
      </c>
      <c r="IV22" t="e">
        <f>AND(#REF!,"AAAAAF/rf/8=")</f>
        <v>#REF!</v>
      </c>
    </row>
    <row r="23" spans="1:256" ht="15">
      <c r="A23" t="e">
        <f>AND(#REF!,"AAAAAGureAA=")</f>
        <v>#REF!</v>
      </c>
      <c r="B23" t="e">
        <f>AND(#REF!,"AAAAAGureAE=")</f>
        <v>#REF!</v>
      </c>
      <c r="C23" t="e">
        <f>AND(#REF!,"AAAAAGureAI=")</f>
        <v>#REF!</v>
      </c>
      <c r="D23" t="e">
        <f>AND(#REF!,"AAAAAGureAM=")</f>
        <v>#REF!</v>
      </c>
      <c r="E23" t="e">
        <f>AND(#REF!,"AAAAAGureAQ=")</f>
        <v>#REF!</v>
      </c>
      <c r="F23" t="e">
        <f>AND(#REF!,"AAAAAGureAU=")</f>
        <v>#REF!</v>
      </c>
      <c r="G23" t="e">
        <f>AND(#REF!,"AAAAAGureAY=")</f>
        <v>#REF!</v>
      </c>
      <c r="H23" t="e">
        <f>AND(#REF!,"AAAAAGureAc=")</f>
        <v>#REF!</v>
      </c>
      <c r="I23" t="e">
        <f>AND(#REF!,"AAAAAGureAg=")</f>
        <v>#REF!</v>
      </c>
      <c r="J23" t="e">
        <f>IF(#REF!,"AAAAAGureAk=",0)</f>
        <v>#REF!</v>
      </c>
      <c r="K23" t="e">
        <f>AND(#REF!,"AAAAAGureAo=")</f>
        <v>#REF!</v>
      </c>
      <c r="L23" t="e">
        <f>AND(#REF!,"AAAAAGureAs=")</f>
        <v>#REF!</v>
      </c>
      <c r="M23" t="e">
        <f>AND(#REF!,"AAAAAGureAw=")</f>
        <v>#REF!</v>
      </c>
      <c r="N23" t="e">
        <f>AND(#REF!,"AAAAAGureA0=")</f>
        <v>#REF!</v>
      </c>
      <c r="O23" t="e">
        <f>AND(#REF!,"AAAAAGureA4=")</f>
        <v>#REF!</v>
      </c>
      <c r="P23" t="e">
        <f>AND(#REF!,"AAAAAGureA8=")</f>
        <v>#REF!</v>
      </c>
      <c r="Q23" t="e">
        <f>AND(#REF!,"AAAAAGureBA=")</f>
        <v>#REF!</v>
      </c>
      <c r="R23" t="e">
        <f>AND(#REF!,"AAAAAGureBE=")</f>
        <v>#REF!</v>
      </c>
      <c r="S23" t="e">
        <f>AND(#REF!,"AAAAAGureBI=")</f>
        <v>#REF!</v>
      </c>
      <c r="T23" t="e">
        <f>AND(#REF!,"AAAAAGureBM=")</f>
        <v>#REF!</v>
      </c>
      <c r="U23" t="e">
        <f>AND(#REF!,"AAAAAGureBQ=")</f>
        <v>#REF!</v>
      </c>
      <c r="V23" t="e">
        <f>AND(#REF!,"AAAAAGureBU=")</f>
        <v>#REF!</v>
      </c>
      <c r="W23" t="e">
        <f>AND(#REF!,"AAAAAGureBY=")</f>
        <v>#REF!</v>
      </c>
      <c r="X23" t="e">
        <f>IF(#REF!,"AAAAAGureBc=",0)</f>
        <v>#REF!</v>
      </c>
      <c r="Y23" t="e">
        <f>AND(#REF!,"AAAAAGureBg=")</f>
        <v>#REF!</v>
      </c>
      <c r="Z23" t="e">
        <f>AND(#REF!,"AAAAAGureBk=")</f>
        <v>#REF!</v>
      </c>
      <c r="AA23" t="e">
        <f>AND(#REF!,"AAAAAGureBo=")</f>
        <v>#REF!</v>
      </c>
      <c r="AB23" t="e">
        <f>AND(#REF!,"AAAAAGureBs=")</f>
        <v>#REF!</v>
      </c>
      <c r="AC23" t="e">
        <f>AND(#REF!,"AAAAAGureBw=")</f>
        <v>#REF!</v>
      </c>
      <c r="AD23" t="e">
        <f>AND(#REF!,"AAAAAGureB0=")</f>
        <v>#REF!</v>
      </c>
      <c r="AE23" t="e">
        <f>AND(#REF!,"AAAAAGureB4=")</f>
        <v>#REF!</v>
      </c>
      <c r="AF23" t="e">
        <f>AND(#REF!,"AAAAAGureB8=")</f>
        <v>#REF!</v>
      </c>
      <c r="AG23" t="e">
        <f>AND(#REF!,"AAAAAGureCA=")</f>
        <v>#REF!</v>
      </c>
      <c r="AH23" t="e">
        <f>AND(#REF!,"AAAAAGureCE=")</f>
        <v>#REF!</v>
      </c>
      <c r="AI23" t="e">
        <f>AND(#REF!,"AAAAAGureCI=")</f>
        <v>#REF!</v>
      </c>
      <c r="AJ23" t="e">
        <f>AND(#REF!,"AAAAAGureCM=")</f>
        <v>#REF!</v>
      </c>
      <c r="AK23" t="e">
        <f>AND(#REF!,"AAAAAGureCQ=")</f>
        <v>#REF!</v>
      </c>
      <c r="AL23" t="e">
        <f>IF(#REF!,"AAAAAGureCU=",0)</f>
        <v>#REF!</v>
      </c>
      <c r="AM23" t="e">
        <f>AND(#REF!,"AAAAAGureCY=")</f>
        <v>#REF!</v>
      </c>
      <c r="AN23" t="e">
        <f>AND(#REF!,"AAAAAGureCc=")</f>
        <v>#REF!</v>
      </c>
      <c r="AO23" t="e">
        <f>AND(#REF!,"AAAAAGureCg=")</f>
        <v>#REF!</v>
      </c>
      <c r="AP23" t="e">
        <f>AND(#REF!,"AAAAAGureCk=")</f>
        <v>#REF!</v>
      </c>
      <c r="AQ23" t="e">
        <f>AND(#REF!,"AAAAAGureCo=")</f>
        <v>#REF!</v>
      </c>
      <c r="AR23" t="e">
        <f>AND(#REF!,"AAAAAGureCs=")</f>
        <v>#REF!</v>
      </c>
      <c r="AS23" t="e">
        <f>AND(#REF!,"AAAAAGureCw=")</f>
        <v>#REF!</v>
      </c>
      <c r="AT23" t="e">
        <f>AND(#REF!,"AAAAAGureC0=")</f>
        <v>#REF!</v>
      </c>
      <c r="AU23" t="e">
        <f>AND(#REF!,"AAAAAGureC4=")</f>
        <v>#REF!</v>
      </c>
      <c r="AV23" t="e">
        <f>AND(#REF!,"AAAAAGureC8=")</f>
        <v>#REF!</v>
      </c>
      <c r="AW23" t="e">
        <f>AND(#REF!,"AAAAAGureDA=")</f>
        <v>#REF!</v>
      </c>
      <c r="AX23" t="e">
        <f>AND(#REF!,"AAAAAGureDE=")</f>
        <v>#REF!</v>
      </c>
      <c r="AY23" t="e">
        <f>AND(#REF!,"AAAAAGureDI=")</f>
        <v>#REF!</v>
      </c>
      <c r="AZ23" t="e">
        <f>IF(#REF!,"AAAAAGureDM=",0)</f>
        <v>#REF!</v>
      </c>
      <c r="BA23" t="e">
        <f>AND(#REF!,"AAAAAGureDQ=")</f>
        <v>#REF!</v>
      </c>
      <c r="BB23" t="e">
        <f>AND(#REF!,"AAAAAGureDU=")</f>
        <v>#REF!</v>
      </c>
      <c r="BC23" t="e">
        <f>AND(#REF!,"AAAAAGureDY=")</f>
        <v>#REF!</v>
      </c>
      <c r="BD23" t="e">
        <f>AND(#REF!,"AAAAAGureDc=")</f>
        <v>#REF!</v>
      </c>
      <c r="BE23" t="e">
        <f>AND(#REF!,"AAAAAGureDg=")</f>
        <v>#REF!</v>
      </c>
      <c r="BF23" t="e">
        <f>AND(#REF!,"AAAAAGureDk=")</f>
        <v>#REF!</v>
      </c>
      <c r="BG23" t="e">
        <f>AND(#REF!,"AAAAAGureDo=")</f>
        <v>#REF!</v>
      </c>
      <c r="BH23" t="e">
        <f>AND(#REF!,"AAAAAGureDs=")</f>
        <v>#REF!</v>
      </c>
      <c r="BI23" t="e">
        <f>AND(#REF!,"AAAAAGureDw=")</f>
        <v>#REF!</v>
      </c>
      <c r="BJ23" t="e">
        <f>AND(#REF!,"AAAAAGureD0=")</f>
        <v>#REF!</v>
      </c>
      <c r="BK23" t="e">
        <f>AND(#REF!,"AAAAAGureD4=")</f>
        <v>#REF!</v>
      </c>
      <c r="BL23" t="e">
        <f>AND(#REF!,"AAAAAGureD8=")</f>
        <v>#REF!</v>
      </c>
      <c r="BM23" t="e">
        <f>AND(#REF!,"AAAAAGureEA=")</f>
        <v>#REF!</v>
      </c>
      <c r="BN23" t="e">
        <f>IF(#REF!,"AAAAAGureEE=",0)</f>
        <v>#REF!</v>
      </c>
      <c r="BO23" t="e">
        <f>AND(#REF!,"AAAAAGureEI=")</f>
        <v>#REF!</v>
      </c>
      <c r="BP23" t="e">
        <f>AND(#REF!,"AAAAAGureEM=")</f>
        <v>#REF!</v>
      </c>
      <c r="BQ23" t="e">
        <f>AND(#REF!,"AAAAAGureEQ=")</f>
        <v>#REF!</v>
      </c>
      <c r="BR23" t="e">
        <f>AND(#REF!,"AAAAAGureEU=")</f>
        <v>#REF!</v>
      </c>
      <c r="BS23" t="e">
        <f>AND(#REF!,"AAAAAGureEY=")</f>
        <v>#REF!</v>
      </c>
      <c r="BT23" t="e">
        <f>AND(#REF!,"AAAAAGureEc=")</f>
        <v>#REF!</v>
      </c>
      <c r="BU23" t="e">
        <f>AND(#REF!,"AAAAAGureEg=")</f>
        <v>#REF!</v>
      </c>
      <c r="BV23" t="e">
        <f>AND(#REF!,"AAAAAGureEk=")</f>
        <v>#REF!</v>
      </c>
      <c r="BW23" t="e">
        <f>AND(#REF!,"AAAAAGureEo=")</f>
        <v>#REF!</v>
      </c>
      <c r="BX23" t="e">
        <f>AND(#REF!,"AAAAAGureEs=")</f>
        <v>#REF!</v>
      </c>
      <c r="BY23" t="e">
        <f>AND(#REF!,"AAAAAGureEw=")</f>
        <v>#REF!</v>
      </c>
      <c r="BZ23" t="e">
        <f>AND(#REF!,"AAAAAGureE0=")</f>
        <v>#REF!</v>
      </c>
      <c r="CA23" t="e">
        <f>AND(#REF!,"AAAAAGureE4=")</f>
        <v>#REF!</v>
      </c>
      <c r="CB23" t="e">
        <f>IF(#REF!,"AAAAAGureE8=",0)</f>
        <v>#REF!</v>
      </c>
      <c r="CC23" t="e">
        <f>AND(#REF!,"AAAAAGureFA=")</f>
        <v>#REF!</v>
      </c>
      <c r="CD23" t="e">
        <f>AND(#REF!,"AAAAAGureFE=")</f>
        <v>#REF!</v>
      </c>
      <c r="CE23" t="e">
        <f>AND(#REF!,"AAAAAGureFI=")</f>
        <v>#REF!</v>
      </c>
      <c r="CF23" t="e">
        <f>AND(#REF!,"AAAAAGureFM=")</f>
        <v>#REF!</v>
      </c>
      <c r="CG23" t="e">
        <f>AND(#REF!,"AAAAAGureFQ=")</f>
        <v>#REF!</v>
      </c>
      <c r="CH23" t="e">
        <f>AND(#REF!,"AAAAAGureFU=")</f>
        <v>#REF!</v>
      </c>
      <c r="CI23" t="e">
        <f>AND(#REF!,"AAAAAGureFY=")</f>
        <v>#REF!</v>
      </c>
      <c r="CJ23" t="e">
        <f>AND(#REF!,"AAAAAGureFc=")</f>
        <v>#REF!</v>
      </c>
      <c r="CK23" t="e">
        <f>AND(#REF!,"AAAAAGureFg=")</f>
        <v>#REF!</v>
      </c>
      <c r="CL23" t="e">
        <f>AND(#REF!,"AAAAAGureFk=")</f>
        <v>#REF!</v>
      </c>
      <c r="CM23" t="e">
        <f>AND(#REF!,"AAAAAGureFo=")</f>
        <v>#REF!</v>
      </c>
      <c r="CN23" t="e">
        <f>AND(#REF!,"AAAAAGureFs=")</f>
        <v>#REF!</v>
      </c>
      <c r="CO23" t="e">
        <f>AND(#REF!,"AAAAAGureFw=")</f>
        <v>#REF!</v>
      </c>
      <c r="CP23" t="e">
        <f>IF(#REF!,"AAAAAGureF0=",0)</f>
        <v>#REF!</v>
      </c>
      <c r="CQ23" t="e">
        <f>AND(#REF!,"AAAAAGureF4=")</f>
        <v>#REF!</v>
      </c>
      <c r="CR23" t="e">
        <f>AND(#REF!,"AAAAAGureF8=")</f>
        <v>#REF!</v>
      </c>
      <c r="CS23" t="e">
        <f>AND(#REF!,"AAAAAGureGA=")</f>
        <v>#REF!</v>
      </c>
      <c r="CT23" t="e">
        <f>AND(#REF!,"AAAAAGureGE=")</f>
        <v>#REF!</v>
      </c>
      <c r="CU23" t="e">
        <f>AND(#REF!,"AAAAAGureGI=")</f>
        <v>#REF!</v>
      </c>
      <c r="CV23" t="e">
        <f>AND(#REF!,"AAAAAGureGM=")</f>
        <v>#REF!</v>
      </c>
      <c r="CW23" t="e">
        <f>AND(#REF!,"AAAAAGureGQ=")</f>
        <v>#REF!</v>
      </c>
      <c r="CX23" t="e">
        <f>AND(#REF!,"AAAAAGureGU=")</f>
        <v>#REF!</v>
      </c>
      <c r="CY23" t="e">
        <f>AND(#REF!,"AAAAAGureGY=")</f>
        <v>#REF!</v>
      </c>
      <c r="CZ23" t="e">
        <f>AND(#REF!,"AAAAAGureGc=")</f>
        <v>#REF!</v>
      </c>
      <c r="DA23" t="e">
        <f>AND(#REF!,"AAAAAGureGg=")</f>
        <v>#REF!</v>
      </c>
      <c r="DB23" t="e">
        <f>AND(#REF!,"AAAAAGureGk=")</f>
        <v>#REF!</v>
      </c>
      <c r="DC23" t="e">
        <f>AND(#REF!,"AAAAAGureGo=")</f>
        <v>#REF!</v>
      </c>
      <c r="DD23" t="e">
        <f>IF(#REF!,"AAAAAGureGs=",0)</f>
        <v>#REF!</v>
      </c>
      <c r="DE23" t="e">
        <f>AND(#REF!,"AAAAAGureGw=")</f>
        <v>#REF!</v>
      </c>
      <c r="DF23" t="e">
        <f>AND(#REF!,"AAAAAGureG0=")</f>
        <v>#REF!</v>
      </c>
      <c r="DG23" t="e">
        <f>AND(#REF!,"AAAAAGureG4=")</f>
        <v>#REF!</v>
      </c>
      <c r="DH23" t="e">
        <f>AND(#REF!,"AAAAAGureG8=")</f>
        <v>#REF!</v>
      </c>
      <c r="DI23" t="e">
        <f>AND(#REF!,"AAAAAGureHA=")</f>
        <v>#REF!</v>
      </c>
      <c r="DJ23" t="e">
        <f>AND(#REF!,"AAAAAGureHE=")</f>
        <v>#REF!</v>
      </c>
      <c r="DK23" t="e">
        <f>AND(#REF!,"AAAAAGureHI=")</f>
        <v>#REF!</v>
      </c>
      <c r="DL23" t="e">
        <f>AND(#REF!,"AAAAAGureHM=")</f>
        <v>#REF!</v>
      </c>
      <c r="DM23" t="e">
        <f>AND(#REF!,"AAAAAGureHQ=")</f>
        <v>#REF!</v>
      </c>
      <c r="DN23" t="e">
        <f>AND(#REF!,"AAAAAGureHU=")</f>
        <v>#REF!</v>
      </c>
      <c r="DO23" t="e">
        <f>AND(#REF!,"AAAAAGureHY=")</f>
        <v>#REF!</v>
      </c>
      <c r="DP23" t="e">
        <f>AND(#REF!,"AAAAAGureHc=")</f>
        <v>#REF!</v>
      </c>
      <c r="DQ23" t="e">
        <f>AND(#REF!,"AAAAAGureHg=")</f>
        <v>#REF!</v>
      </c>
      <c r="DR23" t="e">
        <f>IF(#REF!,"AAAAAGureHk=",0)</f>
        <v>#REF!</v>
      </c>
      <c r="DS23" t="e">
        <f>AND(#REF!,"AAAAAGureHo=")</f>
        <v>#REF!</v>
      </c>
      <c r="DT23" t="e">
        <f>AND(#REF!,"AAAAAGureHs=")</f>
        <v>#REF!</v>
      </c>
      <c r="DU23" t="e">
        <f>AND(#REF!,"AAAAAGureHw=")</f>
        <v>#REF!</v>
      </c>
      <c r="DV23" t="e">
        <f>AND(#REF!,"AAAAAGureH0=")</f>
        <v>#REF!</v>
      </c>
      <c r="DW23" t="e">
        <f>AND(#REF!,"AAAAAGureH4=")</f>
        <v>#REF!</v>
      </c>
      <c r="DX23" t="e">
        <f>AND(#REF!,"AAAAAGureH8=")</f>
        <v>#REF!</v>
      </c>
      <c r="DY23" t="e">
        <f>AND(#REF!,"AAAAAGureIA=")</f>
        <v>#REF!</v>
      </c>
      <c r="DZ23" t="e">
        <f>AND(#REF!,"AAAAAGureIE=")</f>
        <v>#REF!</v>
      </c>
      <c r="EA23" t="e">
        <f>AND(#REF!,"AAAAAGureII=")</f>
        <v>#REF!</v>
      </c>
      <c r="EB23" t="e">
        <f>AND(#REF!,"AAAAAGureIM=")</f>
        <v>#REF!</v>
      </c>
      <c r="EC23" t="e">
        <f>AND(#REF!,"AAAAAGureIQ=")</f>
        <v>#REF!</v>
      </c>
      <c r="ED23" t="e">
        <f>AND(#REF!,"AAAAAGureIU=")</f>
        <v>#REF!</v>
      </c>
      <c r="EE23" t="e">
        <f>AND(#REF!,"AAAAAGureIY=")</f>
        <v>#REF!</v>
      </c>
      <c r="EF23" t="e">
        <f>IF(#REF!,"AAAAAGureIc=",0)</f>
        <v>#REF!</v>
      </c>
      <c r="EG23" t="e">
        <f>AND(#REF!,"AAAAAGureIg=")</f>
        <v>#REF!</v>
      </c>
      <c r="EH23" t="e">
        <f>AND(#REF!,"AAAAAGureIk=")</f>
        <v>#REF!</v>
      </c>
      <c r="EI23" t="e">
        <f>AND(#REF!,"AAAAAGureIo=")</f>
        <v>#REF!</v>
      </c>
      <c r="EJ23" t="e">
        <f>AND(#REF!,"AAAAAGureIs=")</f>
        <v>#REF!</v>
      </c>
      <c r="EK23" t="e">
        <f>AND(#REF!,"AAAAAGureIw=")</f>
        <v>#REF!</v>
      </c>
      <c r="EL23" t="e">
        <f>AND(#REF!,"AAAAAGureI0=")</f>
        <v>#REF!</v>
      </c>
      <c r="EM23" t="e">
        <f>AND(#REF!,"AAAAAGureI4=")</f>
        <v>#REF!</v>
      </c>
      <c r="EN23" t="e">
        <f>AND(#REF!,"AAAAAGureI8=")</f>
        <v>#REF!</v>
      </c>
      <c r="EO23" t="e">
        <f>AND(#REF!,"AAAAAGureJA=")</f>
        <v>#REF!</v>
      </c>
      <c r="EP23" t="e">
        <f>AND(#REF!,"AAAAAGureJE=")</f>
        <v>#REF!</v>
      </c>
      <c r="EQ23" t="e">
        <f>AND(#REF!,"AAAAAGureJI=")</f>
        <v>#REF!</v>
      </c>
      <c r="ER23" t="e">
        <f>AND(#REF!,"AAAAAGureJM=")</f>
        <v>#REF!</v>
      </c>
      <c r="ES23" t="e">
        <f>AND(#REF!,"AAAAAGureJQ=")</f>
        <v>#REF!</v>
      </c>
      <c r="ET23" t="e">
        <f>IF(#REF!,"AAAAAGureJU=",0)</f>
        <v>#REF!</v>
      </c>
      <c r="EU23" t="e">
        <f>AND(#REF!,"AAAAAGureJY=")</f>
        <v>#REF!</v>
      </c>
      <c r="EV23" t="e">
        <f>AND(#REF!,"AAAAAGureJc=")</f>
        <v>#REF!</v>
      </c>
      <c r="EW23" t="e">
        <f>AND(#REF!,"AAAAAGureJg=")</f>
        <v>#REF!</v>
      </c>
      <c r="EX23" t="e">
        <f>AND(#REF!,"AAAAAGureJk=")</f>
        <v>#REF!</v>
      </c>
      <c r="EY23" t="e">
        <f>AND(#REF!,"AAAAAGureJo=")</f>
        <v>#REF!</v>
      </c>
      <c r="EZ23" t="e">
        <f>AND(#REF!,"AAAAAGureJs=")</f>
        <v>#REF!</v>
      </c>
      <c r="FA23" t="e">
        <f>AND(#REF!,"AAAAAGureJw=")</f>
        <v>#REF!</v>
      </c>
      <c r="FB23" t="e">
        <f>AND(#REF!,"AAAAAGureJ0=")</f>
        <v>#REF!</v>
      </c>
      <c r="FC23" t="e">
        <f>AND(#REF!,"AAAAAGureJ4=")</f>
        <v>#REF!</v>
      </c>
      <c r="FD23" t="e">
        <f>AND(#REF!,"AAAAAGureJ8=")</f>
        <v>#REF!</v>
      </c>
      <c r="FE23" t="e">
        <f>AND(#REF!,"AAAAAGureKA=")</f>
        <v>#REF!</v>
      </c>
      <c r="FF23" t="e">
        <f>AND(#REF!,"AAAAAGureKE=")</f>
        <v>#REF!</v>
      </c>
      <c r="FG23" t="e">
        <f>AND(#REF!,"AAAAAGureKI=")</f>
        <v>#REF!</v>
      </c>
      <c r="FH23" t="e">
        <f>IF(#REF!,"AAAAAGureKM=",0)</f>
        <v>#REF!</v>
      </c>
      <c r="FI23" t="e">
        <f>AND(#REF!,"AAAAAGureKQ=")</f>
        <v>#REF!</v>
      </c>
      <c r="FJ23" t="e">
        <f>AND(#REF!,"AAAAAGureKU=")</f>
        <v>#REF!</v>
      </c>
      <c r="FK23" t="e">
        <f>AND(#REF!,"AAAAAGureKY=")</f>
        <v>#REF!</v>
      </c>
      <c r="FL23" t="e">
        <f>AND(#REF!,"AAAAAGureKc=")</f>
        <v>#REF!</v>
      </c>
      <c r="FM23" t="e">
        <f>AND(#REF!,"AAAAAGureKg=")</f>
        <v>#REF!</v>
      </c>
      <c r="FN23" t="e">
        <f>AND(#REF!,"AAAAAGureKk=")</f>
        <v>#REF!</v>
      </c>
      <c r="FO23" t="e">
        <f>AND(#REF!,"AAAAAGureKo=")</f>
        <v>#REF!</v>
      </c>
      <c r="FP23" t="e">
        <f>AND(#REF!,"AAAAAGureKs=")</f>
        <v>#REF!</v>
      </c>
      <c r="FQ23" t="e">
        <f>AND(#REF!,"AAAAAGureKw=")</f>
        <v>#REF!</v>
      </c>
      <c r="FR23" t="e">
        <f>AND(#REF!,"AAAAAGureK0=")</f>
        <v>#REF!</v>
      </c>
      <c r="FS23" t="e">
        <f>AND(#REF!,"AAAAAGureK4=")</f>
        <v>#REF!</v>
      </c>
      <c r="FT23" t="e">
        <f>AND(#REF!,"AAAAAGureK8=")</f>
        <v>#REF!</v>
      </c>
      <c r="FU23" t="e">
        <f>AND(#REF!,"AAAAAGureLA=")</f>
        <v>#REF!</v>
      </c>
      <c r="FV23" t="e">
        <f>IF(#REF!,"AAAAAGureLE=",0)</f>
        <v>#REF!</v>
      </c>
      <c r="FW23" t="e">
        <f>AND(#REF!,"AAAAAGureLI=")</f>
        <v>#REF!</v>
      </c>
      <c r="FX23" t="e">
        <f>AND(#REF!,"AAAAAGureLM=")</f>
        <v>#REF!</v>
      </c>
      <c r="FY23" t="e">
        <f>AND(#REF!,"AAAAAGureLQ=")</f>
        <v>#REF!</v>
      </c>
      <c r="FZ23" t="e">
        <f>AND(#REF!,"AAAAAGureLU=")</f>
        <v>#REF!</v>
      </c>
      <c r="GA23" t="e">
        <f>AND(#REF!,"AAAAAGureLY=")</f>
        <v>#REF!</v>
      </c>
      <c r="GB23" t="e">
        <f>AND(#REF!,"AAAAAGureLc=")</f>
        <v>#REF!</v>
      </c>
      <c r="GC23" t="e">
        <f>AND(#REF!,"AAAAAGureLg=")</f>
        <v>#REF!</v>
      </c>
      <c r="GD23" t="e">
        <f>AND(#REF!,"AAAAAGureLk=")</f>
        <v>#REF!</v>
      </c>
      <c r="GE23" t="e">
        <f>AND(#REF!,"AAAAAGureLo=")</f>
        <v>#REF!</v>
      </c>
      <c r="GF23" t="e">
        <f>AND(#REF!,"AAAAAGureLs=")</f>
        <v>#REF!</v>
      </c>
      <c r="GG23" t="e">
        <f>AND(#REF!,"AAAAAGureLw=")</f>
        <v>#REF!</v>
      </c>
      <c r="GH23" t="e">
        <f>AND(#REF!,"AAAAAGureL0=")</f>
        <v>#REF!</v>
      </c>
      <c r="GI23" t="e">
        <f>AND(#REF!,"AAAAAGureL4=")</f>
        <v>#REF!</v>
      </c>
      <c r="GJ23" t="e">
        <f>IF(#REF!,"AAAAAGureL8=",0)</f>
        <v>#REF!</v>
      </c>
      <c r="GK23" t="e">
        <f>AND(#REF!,"AAAAAGureMA=")</f>
        <v>#REF!</v>
      </c>
      <c r="GL23" t="e">
        <f>AND(#REF!,"AAAAAGureME=")</f>
        <v>#REF!</v>
      </c>
      <c r="GM23" t="e">
        <f>AND(#REF!,"AAAAAGureMI=")</f>
        <v>#REF!</v>
      </c>
      <c r="GN23" t="e">
        <f>AND(#REF!,"AAAAAGureMM=")</f>
        <v>#REF!</v>
      </c>
      <c r="GO23" t="e">
        <f>AND(#REF!,"AAAAAGureMQ=")</f>
        <v>#REF!</v>
      </c>
      <c r="GP23" t="e">
        <f>AND(#REF!,"AAAAAGureMU=")</f>
        <v>#REF!</v>
      </c>
      <c r="GQ23" t="e">
        <f>AND(#REF!,"AAAAAGureMY=")</f>
        <v>#REF!</v>
      </c>
      <c r="GR23" t="e">
        <f>AND(#REF!,"AAAAAGureMc=")</f>
        <v>#REF!</v>
      </c>
      <c r="GS23" t="e">
        <f>AND(#REF!,"AAAAAGureMg=")</f>
        <v>#REF!</v>
      </c>
      <c r="GT23" t="e">
        <f>AND(#REF!,"AAAAAGureMk=")</f>
        <v>#REF!</v>
      </c>
      <c r="GU23" t="e">
        <f>AND(#REF!,"AAAAAGureMo=")</f>
        <v>#REF!</v>
      </c>
      <c r="GV23" t="e">
        <f>AND(#REF!,"AAAAAGureMs=")</f>
        <v>#REF!</v>
      </c>
      <c r="GW23" t="e">
        <f>AND(#REF!,"AAAAAGureMw=")</f>
        <v>#REF!</v>
      </c>
      <c r="GX23" t="e">
        <f>IF(#REF!,"AAAAAGureM0=",0)</f>
        <v>#REF!</v>
      </c>
      <c r="GY23" t="e">
        <f>AND(#REF!,"AAAAAGureM4=")</f>
        <v>#REF!</v>
      </c>
      <c r="GZ23" t="e">
        <f>AND(#REF!,"AAAAAGureM8=")</f>
        <v>#REF!</v>
      </c>
      <c r="HA23" t="e">
        <f>AND(#REF!,"AAAAAGureNA=")</f>
        <v>#REF!</v>
      </c>
      <c r="HB23" t="e">
        <f>AND(#REF!,"AAAAAGureNE=")</f>
        <v>#REF!</v>
      </c>
      <c r="HC23" t="e">
        <f>AND(#REF!,"AAAAAGureNI=")</f>
        <v>#REF!</v>
      </c>
      <c r="HD23" t="e">
        <f>AND(#REF!,"AAAAAGureNM=")</f>
        <v>#REF!</v>
      </c>
      <c r="HE23" t="e">
        <f>AND(#REF!,"AAAAAGureNQ=")</f>
        <v>#REF!</v>
      </c>
      <c r="HF23" t="e">
        <f>AND(#REF!,"AAAAAGureNU=")</f>
        <v>#REF!</v>
      </c>
      <c r="HG23" t="e">
        <f>AND(#REF!,"AAAAAGureNY=")</f>
        <v>#REF!</v>
      </c>
      <c r="HH23" t="e">
        <f>AND(#REF!,"AAAAAGureNc=")</f>
        <v>#REF!</v>
      </c>
      <c r="HI23" t="e">
        <f>AND(#REF!,"AAAAAGureNg=")</f>
        <v>#REF!</v>
      </c>
      <c r="HJ23" t="e">
        <f>AND(#REF!,"AAAAAGureNk=")</f>
        <v>#REF!</v>
      </c>
      <c r="HK23" t="e">
        <f>AND(#REF!,"AAAAAGureNo=")</f>
        <v>#REF!</v>
      </c>
      <c r="HL23" t="e">
        <f>IF(#REF!,"AAAAAGureNs=",0)</f>
        <v>#REF!</v>
      </c>
      <c r="HM23" t="e">
        <f>AND(#REF!,"AAAAAGureNw=")</f>
        <v>#REF!</v>
      </c>
      <c r="HN23" t="e">
        <f>AND(#REF!,"AAAAAGureN0=")</f>
        <v>#REF!</v>
      </c>
      <c r="HO23" t="e">
        <f>AND(#REF!,"AAAAAGureN4=")</f>
        <v>#REF!</v>
      </c>
      <c r="HP23" t="e">
        <f>AND(#REF!,"AAAAAGureN8=")</f>
        <v>#REF!</v>
      </c>
      <c r="HQ23" t="e">
        <f>AND(#REF!,"AAAAAGureOA=")</f>
        <v>#REF!</v>
      </c>
      <c r="HR23" t="e">
        <f>AND(#REF!,"AAAAAGureOE=")</f>
        <v>#REF!</v>
      </c>
      <c r="HS23" t="e">
        <f>AND(#REF!,"AAAAAGureOI=")</f>
        <v>#REF!</v>
      </c>
      <c r="HT23" t="e">
        <f>AND(#REF!,"AAAAAGureOM=")</f>
        <v>#REF!</v>
      </c>
      <c r="HU23" t="e">
        <f>AND(#REF!,"AAAAAGureOQ=")</f>
        <v>#REF!</v>
      </c>
      <c r="HV23" t="e">
        <f>AND(#REF!,"AAAAAGureOU=")</f>
        <v>#REF!</v>
      </c>
      <c r="HW23" t="e">
        <f>AND(#REF!,"AAAAAGureOY=")</f>
        <v>#REF!</v>
      </c>
      <c r="HX23" t="e">
        <f>AND(#REF!,"AAAAAGureOc=")</f>
        <v>#REF!</v>
      </c>
      <c r="HY23" t="e">
        <f>AND(#REF!,"AAAAAGureOg=")</f>
        <v>#REF!</v>
      </c>
      <c r="HZ23" t="e">
        <f>IF(#REF!,"AAAAAGureOk=",0)</f>
        <v>#REF!</v>
      </c>
      <c r="IA23" t="e">
        <f>AND(#REF!,"AAAAAGureOo=")</f>
        <v>#REF!</v>
      </c>
      <c r="IB23" t="e">
        <f>AND(#REF!,"AAAAAGureOs=")</f>
        <v>#REF!</v>
      </c>
      <c r="IC23" t="e">
        <f>AND(#REF!,"AAAAAGureOw=")</f>
        <v>#REF!</v>
      </c>
      <c r="ID23" t="e">
        <f>AND(#REF!,"AAAAAGureO0=")</f>
        <v>#REF!</v>
      </c>
      <c r="IE23" t="e">
        <f>AND(#REF!,"AAAAAGureO4=")</f>
        <v>#REF!</v>
      </c>
      <c r="IF23" t="e">
        <f>AND(#REF!,"AAAAAGureO8=")</f>
        <v>#REF!</v>
      </c>
      <c r="IG23" t="e">
        <f>AND(#REF!,"AAAAAGurePA=")</f>
        <v>#REF!</v>
      </c>
      <c r="IH23" t="e">
        <f>AND(#REF!,"AAAAAGurePE=")</f>
        <v>#REF!</v>
      </c>
      <c r="II23" t="e">
        <f>AND(#REF!,"AAAAAGurePI=")</f>
        <v>#REF!</v>
      </c>
      <c r="IJ23" t="e">
        <f>AND(#REF!,"AAAAAGurePM=")</f>
        <v>#REF!</v>
      </c>
      <c r="IK23" t="e">
        <f>AND(#REF!,"AAAAAGurePQ=")</f>
        <v>#REF!</v>
      </c>
      <c r="IL23" t="e">
        <f>AND(#REF!,"AAAAAGurePU=")</f>
        <v>#REF!</v>
      </c>
      <c r="IM23" t="e">
        <f>AND(#REF!,"AAAAAGurePY=")</f>
        <v>#REF!</v>
      </c>
      <c r="IN23" t="e">
        <f>IF(#REF!,"AAAAAGurePc=",0)</f>
        <v>#REF!</v>
      </c>
      <c r="IO23" t="e">
        <f>AND(#REF!,"AAAAAGurePg=")</f>
        <v>#REF!</v>
      </c>
      <c r="IP23" t="e">
        <f>AND(#REF!,"AAAAAGurePk=")</f>
        <v>#REF!</v>
      </c>
      <c r="IQ23" t="e">
        <f>AND(#REF!,"AAAAAGurePo=")</f>
        <v>#REF!</v>
      </c>
      <c r="IR23" t="e">
        <f>AND(#REF!,"AAAAAGurePs=")</f>
        <v>#REF!</v>
      </c>
      <c r="IS23" t="e">
        <f>AND(#REF!,"AAAAAGurePw=")</f>
        <v>#REF!</v>
      </c>
      <c r="IT23" t="e">
        <f>AND(#REF!,"AAAAAGureP0=")</f>
        <v>#REF!</v>
      </c>
      <c r="IU23" t="e">
        <f>AND(#REF!,"AAAAAGureP4=")</f>
        <v>#REF!</v>
      </c>
      <c r="IV23" t="e">
        <f>AND(#REF!,"AAAAAGureP8=")</f>
        <v>#REF!</v>
      </c>
    </row>
    <row r="24" spans="1:256" ht="15">
      <c r="A24" t="e">
        <f>AND(#REF!,"AAAAAC/r6wA=")</f>
        <v>#REF!</v>
      </c>
      <c r="B24" t="e">
        <f>AND(#REF!,"AAAAAC/r6wE=")</f>
        <v>#REF!</v>
      </c>
      <c r="C24" t="e">
        <f>AND(#REF!,"AAAAAC/r6wI=")</f>
        <v>#REF!</v>
      </c>
      <c r="D24" t="e">
        <f>AND(#REF!,"AAAAAC/r6wM=")</f>
        <v>#REF!</v>
      </c>
      <c r="E24" t="e">
        <f>AND(#REF!,"AAAAAC/r6wQ=")</f>
        <v>#REF!</v>
      </c>
      <c r="F24" t="e">
        <f>IF(#REF!,"AAAAAC/r6wU=",0)</f>
        <v>#REF!</v>
      </c>
      <c r="G24" t="e">
        <f>AND(#REF!,"AAAAAC/r6wY=")</f>
        <v>#REF!</v>
      </c>
      <c r="H24" t="e">
        <f>AND(#REF!,"AAAAAC/r6wc=")</f>
        <v>#REF!</v>
      </c>
      <c r="I24" t="e">
        <f>AND(#REF!,"AAAAAC/r6wg=")</f>
        <v>#REF!</v>
      </c>
      <c r="J24" t="e">
        <f>AND(#REF!,"AAAAAC/r6wk=")</f>
        <v>#REF!</v>
      </c>
      <c r="K24" t="e">
        <f>AND(#REF!,"AAAAAC/r6wo=")</f>
        <v>#REF!</v>
      </c>
      <c r="L24" t="e">
        <f>AND(#REF!,"AAAAAC/r6ws=")</f>
        <v>#REF!</v>
      </c>
      <c r="M24" t="e">
        <f>AND(#REF!,"AAAAAC/r6ww=")</f>
        <v>#REF!</v>
      </c>
      <c r="N24" t="e">
        <f>AND(#REF!,"AAAAAC/r6w0=")</f>
        <v>#REF!</v>
      </c>
      <c r="O24" t="e">
        <f>AND(#REF!,"AAAAAC/r6w4=")</f>
        <v>#REF!</v>
      </c>
      <c r="P24" t="e">
        <f>AND(#REF!,"AAAAAC/r6w8=")</f>
        <v>#REF!</v>
      </c>
      <c r="Q24" t="e">
        <f>AND(#REF!,"AAAAAC/r6xA=")</f>
        <v>#REF!</v>
      </c>
      <c r="R24" t="e">
        <f>AND(#REF!,"AAAAAC/r6xE=")</f>
        <v>#REF!</v>
      </c>
      <c r="S24" t="e">
        <f>AND(#REF!,"AAAAAC/r6xI=")</f>
        <v>#REF!</v>
      </c>
      <c r="T24" t="e">
        <f>IF(#REF!,"AAAAAC/r6xM=",0)</f>
        <v>#REF!</v>
      </c>
      <c r="U24" t="e">
        <f>AND(#REF!,"AAAAAC/r6xQ=")</f>
        <v>#REF!</v>
      </c>
      <c r="V24" t="e">
        <f>AND(#REF!,"AAAAAC/r6xU=")</f>
        <v>#REF!</v>
      </c>
      <c r="W24" t="e">
        <f>AND(#REF!,"AAAAAC/r6xY=")</f>
        <v>#REF!</v>
      </c>
      <c r="X24" t="e">
        <f>AND(#REF!,"AAAAAC/r6xc=")</f>
        <v>#REF!</v>
      </c>
      <c r="Y24" t="e">
        <f>AND(#REF!,"AAAAAC/r6xg=")</f>
        <v>#REF!</v>
      </c>
      <c r="Z24" t="e">
        <f>AND(#REF!,"AAAAAC/r6xk=")</f>
        <v>#REF!</v>
      </c>
      <c r="AA24" t="e">
        <f>AND(#REF!,"AAAAAC/r6xo=")</f>
        <v>#REF!</v>
      </c>
      <c r="AB24" t="e">
        <f>AND(#REF!,"AAAAAC/r6xs=")</f>
        <v>#REF!</v>
      </c>
      <c r="AC24" t="e">
        <f>AND(#REF!,"AAAAAC/r6xw=")</f>
        <v>#REF!</v>
      </c>
      <c r="AD24" t="e">
        <f>AND(#REF!,"AAAAAC/r6x0=")</f>
        <v>#REF!</v>
      </c>
      <c r="AE24" t="e">
        <f>AND(#REF!,"AAAAAC/r6x4=")</f>
        <v>#REF!</v>
      </c>
      <c r="AF24" t="e">
        <f>AND(#REF!,"AAAAAC/r6x8=")</f>
        <v>#REF!</v>
      </c>
      <c r="AG24" t="e">
        <f>AND(#REF!,"AAAAAC/r6yA=")</f>
        <v>#REF!</v>
      </c>
      <c r="AH24" t="e">
        <f>IF(#REF!,"AAAAAC/r6yE=",0)</f>
        <v>#REF!</v>
      </c>
      <c r="AI24" t="e">
        <f>AND(#REF!,"AAAAAC/r6yI=")</f>
        <v>#REF!</v>
      </c>
      <c r="AJ24" t="e">
        <f>AND(#REF!,"AAAAAC/r6yM=")</f>
        <v>#REF!</v>
      </c>
      <c r="AK24" t="e">
        <f>AND(#REF!,"AAAAAC/r6yQ=")</f>
        <v>#REF!</v>
      </c>
      <c r="AL24" t="e">
        <f>AND(#REF!,"AAAAAC/r6yU=")</f>
        <v>#REF!</v>
      </c>
      <c r="AM24" t="e">
        <f>AND(#REF!,"AAAAAC/r6yY=")</f>
        <v>#REF!</v>
      </c>
      <c r="AN24" t="e">
        <f>AND(#REF!,"AAAAAC/r6yc=")</f>
        <v>#REF!</v>
      </c>
      <c r="AO24" t="e">
        <f>AND(#REF!,"AAAAAC/r6yg=")</f>
        <v>#REF!</v>
      </c>
      <c r="AP24" t="e">
        <f>AND(#REF!,"AAAAAC/r6yk=")</f>
        <v>#REF!</v>
      </c>
      <c r="AQ24" t="e">
        <f>AND(#REF!,"AAAAAC/r6yo=")</f>
        <v>#REF!</v>
      </c>
      <c r="AR24" t="e">
        <f>AND(#REF!,"AAAAAC/r6ys=")</f>
        <v>#REF!</v>
      </c>
      <c r="AS24" t="e">
        <f>AND(#REF!,"AAAAAC/r6yw=")</f>
        <v>#REF!</v>
      </c>
      <c r="AT24" t="e">
        <f>AND(#REF!,"AAAAAC/r6y0=")</f>
        <v>#REF!</v>
      </c>
      <c r="AU24" t="e">
        <f>AND(#REF!,"AAAAAC/r6y4=")</f>
        <v>#REF!</v>
      </c>
      <c r="AV24" t="e">
        <f>IF(#REF!,"AAAAAC/r6y8=",0)</f>
        <v>#REF!</v>
      </c>
      <c r="AW24" t="e">
        <f>AND(#REF!,"AAAAAC/r6zA=")</f>
        <v>#REF!</v>
      </c>
      <c r="AX24" t="e">
        <f>AND(#REF!,"AAAAAC/r6zE=")</f>
        <v>#REF!</v>
      </c>
      <c r="AY24" t="e">
        <f>AND(#REF!,"AAAAAC/r6zI=")</f>
        <v>#REF!</v>
      </c>
      <c r="AZ24" t="e">
        <f>AND(#REF!,"AAAAAC/r6zM=")</f>
        <v>#REF!</v>
      </c>
      <c r="BA24" t="e">
        <f>AND(#REF!,"AAAAAC/r6zQ=")</f>
        <v>#REF!</v>
      </c>
      <c r="BB24" t="e">
        <f>AND(#REF!,"AAAAAC/r6zU=")</f>
        <v>#REF!</v>
      </c>
      <c r="BC24" t="e">
        <f>AND(#REF!,"AAAAAC/r6zY=")</f>
        <v>#REF!</v>
      </c>
      <c r="BD24" t="e">
        <f>AND(#REF!,"AAAAAC/r6zc=")</f>
        <v>#REF!</v>
      </c>
      <c r="BE24" t="e">
        <f>AND(#REF!,"AAAAAC/r6zg=")</f>
        <v>#REF!</v>
      </c>
      <c r="BF24" t="e">
        <f>AND(#REF!,"AAAAAC/r6zk=")</f>
        <v>#REF!</v>
      </c>
      <c r="BG24" t="e">
        <f>AND(#REF!,"AAAAAC/r6zo=")</f>
        <v>#REF!</v>
      </c>
      <c r="BH24" t="e">
        <f>AND(#REF!,"AAAAAC/r6zs=")</f>
        <v>#REF!</v>
      </c>
      <c r="BI24" t="e">
        <f>AND(#REF!,"AAAAAC/r6zw=")</f>
        <v>#REF!</v>
      </c>
      <c r="BJ24" t="e">
        <f>IF(#REF!,"AAAAAC/r6z0=",0)</f>
        <v>#REF!</v>
      </c>
      <c r="BK24" t="e">
        <f>AND(#REF!,"AAAAAC/r6z4=")</f>
        <v>#REF!</v>
      </c>
      <c r="BL24" t="e">
        <f>AND(#REF!,"AAAAAC/r6z8=")</f>
        <v>#REF!</v>
      </c>
      <c r="BM24" t="e">
        <f>AND(#REF!,"AAAAAC/r60A=")</f>
        <v>#REF!</v>
      </c>
      <c r="BN24" t="e">
        <f>AND(#REF!,"AAAAAC/r60E=")</f>
        <v>#REF!</v>
      </c>
      <c r="BO24" t="e">
        <f>AND(#REF!,"AAAAAC/r60I=")</f>
        <v>#REF!</v>
      </c>
      <c r="BP24" t="e">
        <f>AND(#REF!,"AAAAAC/r60M=")</f>
        <v>#REF!</v>
      </c>
      <c r="BQ24" t="e">
        <f>AND(#REF!,"AAAAAC/r60Q=")</f>
        <v>#REF!</v>
      </c>
      <c r="BR24" t="e">
        <f>AND(#REF!,"AAAAAC/r60U=")</f>
        <v>#REF!</v>
      </c>
      <c r="BS24" t="e">
        <f>AND(#REF!,"AAAAAC/r60Y=")</f>
        <v>#REF!</v>
      </c>
      <c r="BT24" t="e">
        <f>AND(#REF!,"AAAAAC/r60c=")</f>
        <v>#REF!</v>
      </c>
      <c r="BU24" t="e">
        <f>AND(#REF!,"AAAAAC/r60g=")</f>
        <v>#REF!</v>
      </c>
      <c r="BV24" t="e">
        <f>AND(#REF!,"AAAAAC/r60k=")</f>
        <v>#REF!</v>
      </c>
      <c r="BW24" t="e">
        <f>AND(#REF!,"AAAAAC/r60o=")</f>
        <v>#REF!</v>
      </c>
      <c r="BX24" t="e">
        <f>IF(#REF!,"AAAAAC/r60s=",0)</f>
        <v>#REF!</v>
      </c>
      <c r="BY24" t="e">
        <f>AND(#REF!,"AAAAAC/r60w=")</f>
        <v>#REF!</v>
      </c>
      <c r="BZ24" t="e">
        <f>AND(#REF!,"AAAAAC/r600=")</f>
        <v>#REF!</v>
      </c>
      <c r="CA24" t="e">
        <f>AND(#REF!,"AAAAAC/r604=")</f>
        <v>#REF!</v>
      </c>
      <c r="CB24" t="e">
        <f>AND(#REF!,"AAAAAC/r608=")</f>
        <v>#REF!</v>
      </c>
      <c r="CC24" t="e">
        <f>AND(#REF!,"AAAAAC/r61A=")</f>
        <v>#REF!</v>
      </c>
      <c r="CD24" t="e">
        <f>AND(#REF!,"AAAAAC/r61E=")</f>
        <v>#REF!</v>
      </c>
      <c r="CE24" t="e">
        <f>AND(#REF!,"AAAAAC/r61I=")</f>
        <v>#REF!</v>
      </c>
      <c r="CF24" t="e">
        <f>AND(#REF!,"AAAAAC/r61M=")</f>
        <v>#REF!</v>
      </c>
      <c r="CG24" t="e">
        <f>AND(#REF!,"AAAAAC/r61Q=")</f>
        <v>#REF!</v>
      </c>
      <c r="CH24" t="e">
        <f>AND(#REF!,"AAAAAC/r61U=")</f>
        <v>#REF!</v>
      </c>
      <c r="CI24" t="e">
        <f>AND(#REF!,"AAAAAC/r61Y=")</f>
        <v>#REF!</v>
      </c>
      <c r="CJ24" t="e">
        <f>AND(#REF!,"AAAAAC/r61c=")</f>
        <v>#REF!</v>
      </c>
      <c r="CK24" t="e">
        <f>AND(#REF!,"AAAAAC/r61g=")</f>
        <v>#REF!</v>
      </c>
      <c r="CL24" t="e">
        <f>IF(#REF!,"AAAAAC/r61k=",0)</f>
        <v>#REF!</v>
      </c>
      <c r="CM24" t="e">
        <f>AND(#REF!,"AAAAAC/r61o=")</f>
        <v>#REF!</v>
      </c>
      <c r="CN24" t="e">
        <f>AND(#REF!,"AAAAAC/r61s=")</f>
        <v>#REF!</v>
      </c>
      <c r="CO24" t="e">
        <f>AND(#REF!,"AAAAAC/r61w=")</f>
        <v>#REF!</v>
      </c>
      <c r="CP24" t="e">
        <f>AND(#REF!,"AAAAAC/r610=")</f>
        <v>#REF!</v>
      </c>
      <c r="CQ24" t="e">
        <f>AND(#REF!,"AAAAAC/r614=")</f>
        <v>#REF!</v>
      </c>
      <c r="CR24" t="e">
        <f>AND(#REF!,"AAAAAC/r618=")</f>
        <v>#REF!</v>
      </c>
      <c r="CS24" t="e">
        <f>AND(#REF!,"AAAAAC/r62A=")</f>
        <v>#REF!</v>
      </c>
      <c r="CT24" t="e">
        <f>AND(#REF!,"AAAAAC/r62E=")</f>
        <v>#REF!</v>
      </c>
      <c r="CU24" t="e">
        <f>AND(#REF!,"AAAAAC/r62I=")</f>
        <v>#REF!</v>
      </c>
      <c r="CV24" t="e">
        <f>AND(#REF!,"AAAAAC/r62M=")</f>
        <v>#REF!</v>
      </c>
      <c r="CW24" t="e">
        <f>AND(#REF!,"AAAAAC/r62Q=")</f>
        <v>#REF!</v>
      </c>
      <c r="CX24" t="e">
        <f>AND(#REF!,"AAAAAC/r62U=")</f>
        <v>#REF!</v>
      </c>
      <c r="CY24" t="e">
        <f>AND(#REF!,"AAAAAC/r62Y=")</f>
        <v>#REF!</v>
      </c>
      <c r="CZ24" t="e">
        <f>IF(#REF!,"AAAAAC/r62c=",0)</f>
        <v>#REF!</v>
      </c>
      <c r="DA24" t="e">
        <f>AND(#REF!,"AAAAAC/r62g=")</f>
        <v>#REF!</v>
      </c>
      <c r="DB24" t="e">
        <f>AND(#REF!,"AAAAAC/r62k=")</f>
        <v>#REF!</v>
      </c>
      <c r="DC24" t="e">
        <f>AND(#REF!,"AAAAAC/r62o=")</f>
        <v>#REF!</v>
      </c>
      <c r="DD24" t="e">
        <f>AND(#REF!,"AAAAAC/r62s=")</f>
        <v>#REF!</v>
      </c>
      <c r="DE24" t="e">
        <f>AND(#REF!,"AAAAAC/r62w=")</f>
        <v>#REF!</v>
      </c>
      <c r="DF24" t="e">
        <f>AND(#REF!,"AAAAAC/r620=")</f>
        <v>#REF!</v>
      </c>
      <c r="DG24" t="e">
        <f>AND(#REF!,"AAAAAC/r624=")</f>
        <v>#REF!</v>
      </c>
      <c r="DH24" t="e">
        <f>AND(#REF!,"AAAAAC/r628=")</f>
        <v>#REF!</v>
      </c>
      <c r="DI24" t="e">
        <f>AND(#REF!,"AAAAAC/r63A=")</f>
        <v>#REF!</v>
      </c>
      <c r="DJ24" t="e">
        <f>AND(#REF!,"AAAAAC/r63E=")</f>
        <v>#REF!</v>
      </c>
      <c r="DK24" t="e">
        <f>AND(#REF!,"AAAAAC/r63I=")</f>
        <v>#REF!</v>
      </c>
      <c r="DL24" t="e">
        <f>AND(#REF!,"AAAAAC/r63M=")</f>
        <v>#REF!</v>
      </c>
      <c r="DM24" t="e">
        <f>AND(#REF!,"AAAAAC/r63Q=")</f>
        <v>#REF!</v>
      </c>
      <c r="DN24" t="e">
        <f>IF(#REF!,"AAAAAC/r63U=",0)</f>
        <v>#REF!</v>
      </c>
      <c r="DO24" t="e">
        <f>AND(#REF!,"AAAAAC/r63Y=")</f>
        <v>#REF!</v>
      </c>
      <c r="DP24" t="e">
        <f>AND(#REF!,"AAAAAC/r63c=")</f>
        <v>#REF!</v>
      </c>
      <c r="DQ24" t="e">
        <f>AND(#REF!,"AAAAAC/r63g=")</f>
        <v>#REF!</v>
      </c>
      <c r="DR24" t="e">
        <f>AND(#REF!,"AAAAAC/r63k=")</f>
        <v>#REF!</v>
      </c>
      <c r="DS24" t="e">
        <f>AND(#REF!,"AAAAAC/r63o=")</f>
        <v>#REF!</v>
      </c>
      <c r="DT24" t="e">
        <f>AND(#REF!,"AAAAAC/r63s=")</f>
        <v>#REF!</v>
      </c>
      <c r="DU24" t="e">
        <f>AND(#REF!,"AAAAAC/r63w=")</f>
        <v>#REF!</v>
      </c>
      <c r="DV24" t="e">
        <f>AND(#REF!,"AAAAAC/r630=")</f>
        <v>#REF!</v>
      </c>
      <c r="DW24" t="e">
        <f>AND(#REF!,"AAAAAC/r634=")</f>
        <v>#REF!</v>
      </c>
      <c r="DX24" t="e">
        <f>AND(#REF!,"AAAAAC/r638=")</f>
        <v>#REF!</v>
      </c>
      <c r="DY24" t="e">
        <f>AND(#REF!,"AAAAAC/r64A=")</f>
        <v>#REF!</v>
      </c>
      <c r="DZ24" t="e">
        <f>AND(#REF!,"AAAAAC/r64E=")</f>
        <v>#REF!</v>
      </c>
      <c r="EA24" t="e">
        <f>AND(#REF!,"AAAAAC/r64I=")</f>
        <v>#REF!</v>
      </c>
      <c r="EB24" t="e">
        <f>IF(#REF!,"AAAAAC/r64M=",0)</f>
        <v>#REF!</v>
      </c>
      <c r="EC24" t="e">
        <f>AND(#REF!,"AAAAAC/r64Q=")</f>
        <v>#REF!</v>
      </c>
      <c r="ED24" t="e">
        <f>AND(#REF!,"AAAAAC/r64U=")</f>
        <v>#REF!</v>
      </c>
      <c r="EE24" t="e">
        <f>AND(#REF!,"AAAAAC/r64Y=")</f>
        <v>#REF!</v>
      </c>
      <c r="EF24" t="e">
        <f>AND(#REF!,"AAAAAC/r64c=")</f>
        <v>#REF!</v>
      </c>
      <c r="EG24" t="e">
        <f>AND(#REF!,"AAAAAC/r64g=")</f>
        <v>#REF!</v>
      </c>
      <c r="EH24" t="e">
        <f>AND(#REF!,"AAAAAC/r64k=")</f>
        <v>#REF!</v>
      </c>
      <c r="EI24" t="e">
        <f>AND(#REF!,"AAAAAC/r64o=")</f>
        <v>#REF!</v>
      </c>
      <c r="EJ24" t="e">
        <f>AND(#REF!,"AAAAAC/r64s=")</f>
        <v>#REF!</v>
      </c>
      <c r="EK24" t="e">
        <f>AND(#REF!,"AAAAAC/r64w=")</f>
        <v>#REF!</v>
      </c>
      <c r="EL24" t="e">
        <f>AND(#REF!,"AAAAAC/r640=")</f>
        <v>#REF!</v>
      </c>
      <c r="EM24" t="e">
        <f>AND(#REF!,"AAAAAC/r644=")</f>
        <v>#REF!</v>
      </c>
      <c r="EN24" t="e">
        <f>AND(#REF!,"AAAAAC/r648=")</f>
        <v>#REF!</v>
      </c>
      <c r="EO24" t="e">
        <f>AND(#REF!,"AAAAAC/r65A=")</f>
        <v>#REF!</v>
      </c>
      <c r="EP24" t="e">
        <f>IF(#REF!,"AAAAAC/r65E=",0)</f>
        <v>#REF!</v>
      </c>
      <c r="EQ24" t="e">
        <f>AND(#REF!,"AAAAAC/r65I=")</f>
        <v>#REF!</v>
      </c>
      <c r="ER24" t="e">
        <f>AND(#REF!,"AAAAAC/r65M=")</f>
        <v>#REF!</v>
      </c>
      <c r="ES24" t="e">
        <f>AND(#REF!,"AAAAAC/r65Q=")</f>
        <v>#REF!</v>
      </c>
      <c r="ET24" t="e">
        <f>AND(#REF!,"AAAAAC/r65U=")</f>
        <v>#REF!</v>
      </c>
      <c r="EU24" t="e">
        <f>AND(#REF!,"AAAAAC/r65Y=")</f>
        <v>#REF!</v>
      </c>
      <c r="EV24" t="e">
        <f>AND(#REF!,"AAAAAC/r65c=")</f>
        <v>#REF!</v>
      </c>
      <c r="EW24" t="e">
        <f>AND(#REF!,"AAAAAC/r65g=")</f>
        <v>#REF!</v>
      </c>
      <c r="EX24" t="e">
        <f>AND(#REF!,"AAAAAC/r65k=")</f>
        <v>#REF!</v>
      </c>
      <c r="EY24" t="e">
        <f>AND(#REF!,"AAAAAC/r65o=")</f>
        <v>#REF!</v>
      </c>
      <c r="EZ24" t="e">
        <f>AND(#REF!,"AAAAAC/r65s=")</f>
        <v>#REF!</v>
      </c>
      <c r="FA24" t="e">
        <f>AND(#REF!,"AAAAAC/r65w=")</f>
        <v>#REF!</v>
      </c>
      <c r="FB24" t="e">
        <f>AND(#REF!,"AAAAAC/r650=")</f>
        <v>#REF!</v>
      </c>
      <c r="FC24" t="e">
        <f>AND(#REF!,"AAAAAC/r654=")</f>
        <v>#REF!</v>
      </c>
      <c r="FD24" t="e">
        <f>IF(#REF!,"AAAAAC/r658=",0)</f>
        <v>#REF!</v>
      </c>
      <c r="FE24" t="e">
        <f>AND(#REF!,"AAAAAC/r66A=")</f>
        <v>#REF!</v>
      </c>
      <c r="FF24" t="e">
        <f>AND(#REF!,"AAAAAC/r66E=")</f>
        <v>#REF!</v>
      </c>
      <c r="FG24" t="e">
        <f>AND(#REF!,"AAAAAC/r66I=")</f>
        <v>#REF!</v>
      </c>
      <c r="FH24" t="e">
        <f>AND(#REF!,"AAAAAC/r66M=")</f>
        <v>#REF!</v>
      </c>
      <c r="FI24" t="e">
        <f>AND(#REF!,"AAAAAC/r66Q=")</f>
        <v>#REF!</v>
      </c>
      <c r="FJ24" t="e">
        <f>AND(#REF!,"AAAAAC/r66U=")</f>
        <v>#REF!</v>
      </c>
      <c r="FK24" t="e">
        <f>AND(#REF!,"AAAAAC/r66Y=")</f>
        <v>#REF!</v>
      </c>
      <c r="FL24" t="e">
        <f>AND(#REF!,"AAAAAC/r66c=")</f>
        <v>#REF!</v>
      </c>
      <c r="FM24" t="e">
        <f>AND(#REF!,"AAAAAC/r66g=")</f>
        <v>#REF!</v>
      </c>
      <c r="FN24" t="e">
        <f>AND(#REF!,"AAAAAC/r66k=")</f>
        <v>#REF!</v>
      </c>
      <c r="FO24" t="e">
        <f>AND(#REF!,"AAAAAC/r66o=")</f>
        <v>#REF!</v>
      </c>
      <c r="FP24" t="e">
        <f>AND(#REF!,"AAAAAC/r66s=")</f>
        <v>#REF!</v>
      </c>
      <c r="FQ24" t="e">
        <f>AND(#REF!,"AAAAAC/r66w=")</f>
        <v>#REF!</v>
      </c>
      <c r="FR24" t="e">
        <f>IF(#REF!,"AAAAAC/r660=",0)</f>
        <v>#REF!</v>
      </c>
      <c r="FS24" t="e">
        <f>AND(#REF!,"AAAAAC/r664=")</f>
        <v>#REF!</v>
      </c>
      <c r="FT24" t="e">
        <f>AND(#REF!,"AAAAAC/r668=")</f>
        <v>#REF!</v>
      </c>
      <c r="FU24" t="e">
        <f>AND(#REF!,"AAAAAC/r67A=")</f>
        <v>#REF!</v>
      </c>
      <c r="FV24" t="e">
        <f>AND(#REF!,"AAAAAC/r67E=")</f>
        <v>#REF!</v>
      </c>
      <c r="FW24" t="e">
        <f>AND(#REF!,"AAAAAC/r67I=")</f>
        <v>#REF!</v>
      </c>
      <c r="FX24" t="e">
        <f>AND(#REF!,"AAAAAC/r67M=")</f>
        <v>#REF!</v>
      </c>
      <c r="FY24" t="e">
        <f>AND(#REF!,"AAAAAC/r67Q=")</f>
        <v>#REF!</v>
      </c>
      <c r="FZ24" t="e">
        <f>AND(#REF!,"AAAAAC/r67U=")</f>
        <v>#REF!</v>
      </c>
      <c r="GA24" t="e">
        <f>AND(#REF!,"AAAAAC/r67Y=")</f>
        <v>#REF!</v>
      </c>
      <c r="GB24" t="e">
        <f>AND(#REF!,"AAAAAC/r67c=")</f>
        <v>#REF!</v>
      </c>
      <c r="GC24" t="e">
        <f>AND(#REF!,"AAAAAC/r67g=")</f>
        <v>#REF!</v>
      </c>
      <c r="GD24" t="e">
        <f>AND(#REF!,"AAAAAC/r67k=")</f>
        <v>#REF!</v>
      </c>
      <c r="GE24" t="e">
        <f>AND(#REF!,"AAAAAC/r67o=")</f>
        <v>#REF!</v>
      </c>
      <c r="GF24" t="e">
        <f>IF(#REF!,"AAAAAC/r67s=",0)</f>
        <v>#REF!</v>
      </c>
      <c r="GG24" t="e">
        <f>AND(#REF!,"AAAAAC/r67w=")</f>
        <v>#REF!</v>
      </c>
      <c r="GH24" t="e">
        <f>AND(#REF!,"AAAAAC/r670=")</f>
        <v>#REF!</v>
      </c>
      <c r="GI24" t="e">
        <f>AND(#REF!,"AAAAAC/r674=")</f>
        <v>#REF!</v>
      </c>
      <c r="GJ24" t="e">
        <f>AND(#REF!,"AAAAAC/r678=")</f>
        <v>#REF!</v>
      </c>
      <c r="GK24" t="e">
        <f>AND(#REF!,"AAAAAC/r68A=")</f>
        <v>#REF!</v>
      </c>
      <c r="GL24" t="e">
        <f>AND(#REF!,"AAAAAC/r68E=")</f>
        <v>#REF!</v>
      </c>
      <c r="GM24" t="e">
        <f>AND(#REF!,"AAAAAC/r68I=")</f>
        <v>#REF!</v>
      </c>
      <c r="GN24" t="e">
        <f>AND(#REF!,"AAAAAC/r68M=")</f>
        <v>#REF!</v>
      </c>
      <c r="GO24" t="e">
        <f>AND(#REF!,"AAAAAC/r68Q=")</f>
        <v>#REF!</v>
      </c>
      <c r="GP24" t="e">
        <f>AND(#REF!,"AAAAAC/r68U=")</f>
        <v>#REF!</v>
      </c>
      <c r="GQ24" t="e">
        <f>AND(#REF!,"AAAAAC/r68Y=")</f>
        <v>#REF!</v>
      </c>
      <c r="GR24" t="e">
        <f>AND(#REF!,"AAAAAC/r68c=")</f>
        <v>#REF!</v>
      </c>
      <c r="GS24" t="e">
        <f>AND(#REF!,"AAAAAC/r68g=")</f>
        <v>#REF!</v>
      </c>
      <c r="GT24" t="e">
        <f>IF(#REF!,"AAAAAC/r68k=",0)</f>
        <v>#REF!</v>
      </c>
      <c r="GU24" t="e">
        <f>AND(#REF!,"AAAAAC/r68o=")</f>
        <v>#REF!</v>
      </c>
      <c r="GV24" t="e">
        <f>AND(#REF!,"AAAAAC/r68s=")</f>
        <v>#REF!</v>
      </c>
      <c r="GW24" t="e">
        <f>AND(#REF!,"AAAAAC/r68w=")</f>
        <v>#REF!</v>
      </c>
      <c r="GX24" t="e">
        <f>AND(#REF!,"AAAAAC/r680=")</f>
        <v>#REF!</v>
      </c>
      <c r="GY24" t="e">
        <f>AND(#REF!,"AAAAAC/r684=")</f>
        <v>#REF!</v>
      </c>
      <c r="GZ24" t="e">
        <f>AND(#REF!,"AAAAAC/r688=")</f>
        <v>#REF!</v>
      </c>
      <c r="HA24" t="e">
        <f>AND(#REF!,"AAAAAC/r69A=")</f>
        <v>#REF!</v>
      </c>
      <c r="HB24" t="e">
        <f>AND(#REF!,"AAAAAC/r69E=")</f>
        <v>#REF!</v>
      </c>
      <c r="HC24" t="e">
        <f>AND(#REF!,"AAAAAC/r69I=")</f>
        <v>#REF!</v>
      </c>
      <c r="HD24" t="e">
        <f>AND(#REF!,"AAAAAC/r69M=")</f>
        <v>#REF!</v>
      </c>
      <c r="HE24" t="e">
        <f>AND(#REF!,"AAAAAC/r69Q=")</f>
        <v>#REF!</v>
      </c>
      <c r="HF24" t="e">
        <f>AND(#REF!,"AAAAAC/r69U=")</f>
        <v>#REF!</v>
      </c>
      <c r="HG24" t="e">
        <f>AND(#REF!,"AAAAAC/r69Y=")</f>
        <v>#REF!</v>
      </c>
      <c r="HH24" t="e">
        <f>IF(#REF!,"AAAAAC/r69c=",0)</f>
        <v>#REF!</v>
      </c>
      <c r="HI24" t="e">
        <f>AND(#REF!,"AAAAAC/r69g=")</f>
        <v>#REF!</v>
      </c>
      <c r="HJ24" t="e">
        <f>AND(#REF!,"AAAAAC/r69k=")</f>
        <v>#REF!</v>
      </c>
      <c r="HK24" t="e">
        <f>AND(#REF!,"AAAAAC/r69o=")</f>
        <v>#REF!</v>
      </c>
      <c r="HL24" t="e">
        <f>AND(#REF!,"AAAAAC/r69s=")</f>
        <v>#REF!</v>
      </c>
      <c r="HM24" t="e">
        <f>AND(#REF!,"AAAAAC/r69w=")</f>
        <v>#REF!</v>
      </c>
      <c r="HN24" t="e">
        <f>AND(#REF!,"AAAAAC/r690=")</f>
        <v>#REF!</v>
      </c>
      <c r="HO24" t="e">
        <f>AND(#REF!,"AAAAAC/r694=")</f>
        <v>#REF!</v>
      </c>
      <c r="HP24" t="e">
        <f>AND(#REF!,"AAAAAC/r698=")</f>
        <v>#REF!</v>
      </c>
      <c r="HQ24" t="e">
        <f>AND(#REF!,"AAAAAC/r6+A=")</f>
        <v>#REF!</v>
      </c>
      <c r="HR24" t="e">
        <f>AND(#REF!,"AAAAAC/r6+E=")</f>
        <v>#REF!</v>
      </c>
      <c r="HS24" t="e">
        <f>AND(#REF!,"AAAAAC/r6+I=")</f>
        <v>#REF!</v>
      </c>
      <c r="HT24" t="e">
        <f>AND(#REF!,"AAAAAC/r6+M=")</f>
        <v>#REF!</v>
      </c>
      <c r="HU24" t="e">
        <f>AND(#REF!,"AAAAAC/r6+Q=")</f>
        <v>#REF!</v>
      </c>
      <c r="HV24" t="e">
        <f>IF(#REF!,"AAAAAC/r6+U=",0)</f>
        <v>#REF!</v>
      </c>
      <c r="HW24" t="e">
        <f>AND(#REF!,"AAAAAC/r6+Y=")</f>
        <v>#REF!</v>
      </c>
      <c r="HX24" t="e">
        <f>AND(#REF!,"AAAAAC/r6+c=")</f>
        <v>#REF!</v>
      </c>
      <c r="HY24" t="e">
        <f>AND(#REF!,"AAAAAC/r6+g=")</f>
        <v>#REF!</v>
      </c>
      <c r="HZ24" t="e">
        <f>AND(#REF!,"AAAAAC/r6+k=")</f>
        <v>#REF!</v>
      </c>
      <c r="IA24" t="e">
        <f>AND(#REF!,"AAAAAC/r6+o=")</f>
        <v>#REF!</v>
      </c>
      <c r="IB24" t="e">
        <f>AND(#REF!,"AAAAAC/r6+s=")</f>
        <v>#REF!</v>
      </c>
      <c r="IC24" t="e">
        <f>AND(#REF!,"AAAAAC/r6+w=")</f>
        <v>#REF!</v>
      </c>
      <c r="ID24" t="e">
        <f>AND(#REF!,"AAAAAC/r6+0=")</f>
        <v>#REF!</v>
      </c>
      <c r="IE24" t="e">
        <f>AND(#REF!,"AAAAAC/r6+4=")</f>
        <v>#REF!</v>
      </c>
      <c r="IF24" t="e">
        <f>AND(#REF!,"AAAAAC/r6+8=")</f>
        <v>#REF!</v>
      </c>
      <c r="IG24" t="e">
        <f>AND(#REF!,"AAAAAC/r6/A=")</f>
        <v>#REF!</v>
      </c>
      <c r="IH24" t="e">
        <f>AND(#REF!,"AAAAAC/r6/E=")</f>
        <v>#REF!</v>
      </c>
      <c r="II24" t="e">
        <f>AND(#REF!,"AAAAAC/r6/I=")</f>
        <v>#REF!</v>
      </c>
      <c r="IJ24" t="e">
        <f>IF(#REF!,"AAAAAC/r6/M=",0)</f>
        <v>#REF!</v>
      </c>
      <c r="IK24" t="e">
        <f>AND(#REF!,"AAAAAC/r6/Q=")</f>
        <v>#REF!</v>
      </c>
      <c r="IL24" t="e">
        <f>AND(#REF!,"AAAAAC/r6/U=")</f>
        <v>#REF!</v>
      </c>
      <c r="IM24" t="e">
        <f>AND(#REF!,"AAAAAC/r6/Y=")</f>
        <v>#REF!</v>
      </c>
      <c r="IN24" t="e">
        <f>AND(#REF!,"AAAAAC/r6/c=")</f>
        <v>#REF!</v>
      </c>
      <c r="IO24" t="e">
        <f>AND(#REF!,"AAAAAC/r6/g=")</f>
        <v>#REF!</v>
      </c>
      <c r="IP24" t="e">
        <f>AND(#REF!,"AAAAAC/r6/k=")</f>
        <v>#REF!</v>
      </c>
      <c r="IQ24" t="e">
        <f>AND(#REF!,"AAAAAC/r6/o=")</f>
        <v>#REF!</v>
      </c>
      <c r="IR24" t="e">
        <f>AND(#REF!,"AAAAAC/r6/s=")</f>
        <v>#REF!</v>
      </c>
      <c r="IS24" t="e">
        <f>AND(#REF!,"AAAAAC/r6/w=")</f>
        <v>#REF!</v>
      </c>
      <c r="IT24" t="e">
        <f>AND(#REF!,"AAAAAC/r6/0=")</f>
        <v>#REF!</v>
      </c>
      <c r="IU24" t="e">
        <f>AND(#REF!,"AAAAAC/r6/4=")</f>
        <v>#REF!</v>
      </c>
      <c r="IV24" t="e">
        <f>AND(#REF!,"AAAAAC/r6/8=")</f>
        <v>#REF!</v>
      </c>
    </row>
    <row r="25" spans="1:256" ht="15">
      <c r="A25" t="e">
        <f>AND(#REF!,"AAAAAFq/awA=")</f>
        <v>#REF!</v>
      </c>
      <c r="B25" t="e">
        <f>IF(#REF!,"AAAAAFq/awE=",0)</f>
        <v>#REF!</v>
      </c>
      <c r="C25" t="e">
        <f>AND(#REF!,"AAAAAFq/awI=")</f>
        <v>#REF!</v>
      </c>
      <c r="D25" t="e">
        <f>AND(#REF!,"AAAAAFq/awM=")</f>
        <v>#REF!</v>
      </c>
      <c r="E25" t="e">
        <f>AND(#REF!,"AAAAAFq/awQ=")</f>
        <v>#REF!</v>
      </c>
      <c r="F25" t="e">
        <f>AND(#REF!,"AAAAAFq/awU=")</f>
        <v>#REF!</v>
      </c>
      <c r="G25" t="e">
        <f>AND(#REF!,"AAAAAFq/awY=")</f>
        <v>#REF!</v>
      </c>
      <c r="H25" t="e">
        <f>AND(#REF!,"AAAAAFq/awc=")</f>
        <v>#REF!</v>
      </c>
      <c r="I25" t="e">
        <f>AND(#REF!,"AAAAAFq/awg=")</f>
        <v>#REF!</v>
      </c>
      <c r="J25" t="e">
        <f>AND(#REF!,"AAAAAFq/awk=")</f>
        <v>#REF!</v>
      </c>
      <c r="K25" t="e">
        <f>AND(#REF!,"AAAAAFq/awo=")</f>
        <v>#REF!</v>
      </c>
      <c r="L25" t="e">
        <f>AND(#REF!,"AAAAAFq/aws=")</f>
        <v>#REF!</v>
      </c>
      <c r="M25" t="e">
        <f>AND(#REF!,"AAAAAFq/aww=")</f>
        <v>#REF!</v>
      </c>
      <c r="N25" t="e">
        <f>AND(#REF!,"AAAAAFq/aw0=")</f>
        <v>#REF!</v>
      </c>
      <c r="O25" t="e">
        <f>AND(#REF!,"AAAAAFq/aw4=")</f>
        <v>#REF!</v>
      </c>
      <c r="P25" t="e">
        <f>IF(#REF!,"AAAAAFq/aw8=",0)</f>
        <v>#REF!</v>
      </c>
      <c r="Q25" t="e">
        <f>AND(#REF!,"AAAAAFq/axA=")</f>
        <v>#REF!</v>
      </c>
      <c r="R25" t="e">
        <f>AND(#REF!,"AAAAAFq/axE=")</f>
        <v>#REF!</v>
      </c>
      <c r="S25" t="e">
        <f>AND(#REF!,"AAAAAFq/axI=")</f>
        <v>#REF!</v>
      </c>
      <c r="T25" t="e">
        <f>AND(#REF!,"AAAAAFq/axM=")</f>
        <v>#REF!</v>
      </c>
      <c r="U25" t="e">
        <f>AND(#REF!,"AAAAAFq/axQ=")</f>
        <v>#REF!</v>
      </c>
      <c r="V25" t="e">
        <f>AND(#REF!,"AAAAAFq/axU=")</f>
        <v>#REF!</v>
      </c>
      <c r="W25" t="e">
        <f>AND(#REF!,"AAAAAFq/axY=")</f>
        <v>#REF!</v>
      </c>
      <c r="X25" t="e">
        <f>AND(#REF!,"AAAAAFq/axc=")</f>
        <v>#REF!</v>
      </c>
      <c r="Y25" t="e">
        <f>AND(#REF!,"AAAAAFq/axg=")</f>
        <v>#REF!</v>
      </c>
      <c r="Z25" t="e">
        <f>AND(#REF!,"AAAAAFq/axk=")</f>
        <v>#REF!</v>
      </c>
      <c r="AA25" t="e">
        <f>AND(#REF!,"AAAAAFq/axo=")</f>
        <v>#REF!</v>
      </c>
      <c r="AB25" t="e">
        <f>AND(#REF!,"AAAAAFq/axs=")</f>
        <v>#REF!</v>
      </c>
      <c r="AC25" t="e">
        <f>AND(#REF!,"AAAAAFq/axw=")</f>
        <v>#REF!</v>
      </c>
      <c r="AD25" t="e">
        <f>IF(#REF!,"AAAAAFq/ax0=",0)</f>
        <v>#REF!</v>
      </c>
      <c r="AE25" t="e">
        <f>AND(#REF!,"AAAAAFq/ax4=")</f>
        <v>#REF!</v>
      </c>
      <c r="AF25" t="e">
        <f>AND(#REF!,"AAAAAFq/ax8=")</f>
        <v>#REF!</v>
      </c>
      <c r="AG25" t="e">
        <f>AND(#REF!,"AAAAAFq/ayA=")</f>
        <v>#REF!</v>
      </c>
      <c r="AH25" t="e">
        <f>AND(#REF!,"AAAAAFq/ayE=")</f>
        <v>#REF!</v>
      </c>
      <c r="AI25" t="e">
        <f>AND(#REF!,"AAAAAFq/ayI=")</f>
        <v>#REF!</v>
      </c>
      <c r="AJ25" t="e">
        <f>AND(#REF!,"AAAAAFq/ayM=")</f>
        <v>#REF!</v>
      </c>
      <c r="AK25" t="e">
        <f>AND(#REF!,"AAAAAFq/ayQ=")</f>
        <v>#REF!</v>
      </c>
      <c r="AL25" t="e">
        <f>AND(#REF!,"AAAAAFq/ayU=")</f>
        <v>#REF!</v>
      </c>
      <c r="AM25" t="e">
        <f>AND(#REF!,"AAAAAFq/ayY=")</f>
        <v>#REF!</v>
      </c>
      <c r="AN25" t="e">
        <f>AND(#REF!,"AAAAAFq/ayc=")</f>
        <v>#REF!</v>
      </c>
      <c r="AO25" t="e">
        <f>AND(#REF!,"AAAAAFq/ayg=")</f>
        <v>#REF!</v>
      </c>
      <c r="AP25" t="e">
        <f>AND(#REF!,"AAAAAFq/ayk=")</f>
        <v>#REF!</v>
      </c>
      <c r="AQ25" t="e">
        <f>AND(#REF!,"AAAAAFq/ayo=")</f>
        <v>#REF!</v>
      </c>
      <c r="AR25" t="e">
        <f>IF(#REF!,"AAAAAFq/ays=",0)</f>
        <v>#REF!</v>
      </c>
      <c r="AS25" t="e">
        <f>AND(#REF!,"AAAAAFq/ayw=")</f>
        <v>#REF!</v>
      </c>
      <c r="AT25" t="e">
        <f>AND(#REF!,"AAAAAFq/ay0=")</f>
        <v>#REF!</v>
      </c>
      <c r="AU25" t="e">
        <f>AND(#REF!,"AAAAAFq/ay4=")</f>
        <v>#REF!</v>
      </c>
      <c r="AV25" t="e">
        <f>AND(#REF!,"AAAAAFq/ay8=")</f>
        <v>#REF!</v>
      </c>
      <c r="AW25" t="e">
        <f>AND(#REF!,"AAAAAFq/azA=")</f>
        <v>#REF!</v>
      </c>
      <c r="AX25" t="e">
        <f>AND(#REF!,"AAAAAFq/azE=")</f>
        <v>#REF!</v>
      </c>
      <c r="AY25" t="e">
        <f>AND(#REF!,"AAAAAFq/azI=")</f>
        <v>#REF!</v>
      </c>
      <c r="AZ25" t="e">
        <f>AND(#REF!,"AAAAAFq/azM=")</f>
        <v>#REF!</v>
      </c>
      <c r="BA25" t="e">
        <f>AND(#REF!,"AAAAAFq/azQ=")</f>
        <v>#REF!</v>
      </c>
      <c r="BB25" t="e">
        <f>AND(#REF!,"AAAAAFq/azU=")</f>
        <v>#REF!</v>
      </c>
      <c r="BC25" t="e">
        <f>AND(#REF!,"AAAAAFq/azY=")</f>
        <v>#REF!</v>
      </c>
      <c r="BD25" t="e">
        <f>AND(#REF!,"AAAAAFq/azc=")</f>
        <v>#REF!</v>
      </c>
      <c r="BE25" t="e">
        <f>AND(#REF!,"AAAAAFq/azg=")</f>
        <v>#REF!</v>
      </c>
      <c r="BF25" t="e">
        <f>IF(#REF!,"AAAAAFq/azk=",0)</f>
        <v>#REF!</v>
      </c>
      <c r="BG25" t="e">
        <f>AND(#REF!,"AAAAAFq/azo=")</f>
        <v>#REF!</v>
      </c>
      <c r="BH25" t="e">
        <f>AND(#REF!,"AAAAAFq/azs=")</f>
        <v>#REF!</v>
      </c>
      <c r="BI25" t="e">
        <f>AND(#REF!,"AAAAAFq/azw=")</f>
        <v>#REF!</v>
      </c>
      <c r="BJ25" t="e">
        <f>AND(#REF!,"AAAAAFq/az0=")</f>
        <v>#REF!</v>
      </c>
      <c r="BK25" t="e">
        <f>AND(#REF!,"AAAAAFq/az4=")</f>
        <v>#REF!</v>
      </c>
      <c r="BL25" t="e">
        <f>AND(#REF!,"AAAAAFq/az8=")</f>
        <v>#REF!</v>
      </c>
      <c r="BM25" t="e">
        <f>AND(#REF!,"AAAAAFq/a0A=")</f>
        <v>#REF!</v>
      </c>
      <c r="BN25" t="e">
        <f>AND(#REF!,"AAAAAFq/a0E=")</f>
        <v>#REF!</v>
      </c>
      <c r="BO25" t="e">
        <f>AND(#REF!,"AAAAAFq/a0I=")</f>
        <v>#REF!</v>
      </c>
      <c r="BP25" t="e">
        <f>AND(#REF!,"AAAAAFq/a0M=")</f>
        <v>#REF!</v>
      </c>
      <c r="BQ25" t="e">
        <f>AND(#REF!,"AAAAAFq/a0Q=")</f>
        <v>#REF!</v>
      </c>
      <c r="BR25" t="e">
        <f>AND(#REF!,"AAAAAFq/a0U=")</f>
        <v>#REF!</v>
      </c>
      <c r="BS25" t="e">
        <f>AND(#REF!,"AAAAAFq/a0Y=")</f>
        <v>#REF!</v>
      </c>
      <c r="BT25" t="e">
        <f>IF(#REF!,"AAAAAFq/a0c=",0)</f>
        <v>#REF!</v>
      </c>
      <c r="BU25" t="e">
        <f>AND(#REF!,"AAAAAFq/a0g=")</f>
        <v>#REF!</v>
      </c>
      <c r="BV25" t="e">
        <f>AND(#REF!,"AAAAAFq/a0k=")</f>
        <v>#REF!</v>
      </c>
      <c r="BW25" t="e">
        <f>AND(#REF!,"AAAAAFq/a0o=")</f>
        <v>#REF!</v>
      </c>
      <c r="BX25" t="e">
        <f>AND(#REF!,"AAAAAFq/a0s=")</f>
        <v>#REF!</v>
      </c>
      <c r="BY25" t="e">
        <f>AND(#REF!,"AAAAAFq/a0w=")</f>
        <v>#REF!</v>
      </c>
      <c r="BZ25" t="e">
        <f>AND(#REF!,"AAAAAFq/a00=")</f>
        <v>#REF!</v>
      </c>
      <c r="CA25" t="e">
        <f>AND(#REF!,"AAAAAFq/a04=")</f>
        <v>#REF!</v>
      </c>
      <c r="CB25" t="e">
        <f>AND(#REF!,"AAAAAFq/a08=")</f>
        <v>#REF!</v>
      </c>
      <c r="CC25" t="e">
        <f>AND(#REF!,"AAAAAFq/a1A=")</f>
        <v>#REF!</v>
      </c>
      <c r="CD25" t="e">
        <f>AND(#REF!,"AAAAAFq/a1E=")</f>
        <v>#REF!</v>
      </c>
      <c r="CE25" t="e">
        <f>AND(#REF!,"AAAAAFq/a1I=")</f>
        <v>#REF!</v>
      </c>
      <c r="CF25" t="e">
        <f>AND(#REF!,"AAAAAFq/a1M=")</f>
        <v>#REF!</v>
      </c>
      <c r="CG25" t="e">
        <f>AND(#REF!,"AAAAAFq/a1Q=")</f>
        <v>#REF!</v>
      </c>
      <c r="CH25" t="e">
        <f>IF(#REF!,"AAAAAFq/a1U=",0)</f>
        <v>#REF!</v>
      </c>
      <c r="CI25" t="e">
        <f>AND(#REF!,"AAAAAFq/a1Y=")</f>
        <v>#REF!</v>
      </c>
      <c r="CJ25" t="e">
        <f>AND(#REF!,"AAAAAFq/a1c=")</f>
        <v>#REF!</v>
      </c>
      <c r="CK25" t="e">
        <f>AND(#REF!,"AAAAAFq/a1g=")</f>
        <v>#REF!</v>
      </c>
      <c r="CL25" t="e">
        <f>AND(#REF!,"AAAAAFq/a1k=")</f>
        <v>#REF!</v>
      </c>
      <c r="CM25" t="e">
        <f>AND(#REF!,"AAAAAFq/a1o=")</f>
        <v>#REF!</v>
      </c>
      <c r="CN25" t="e">
        <f>AND(#REF!,"AAAAAFq/a1s=")</f>
        <v>#REF!</v>
      </c>
      <c r="CO25" t="e">
        <f>AND(#REF!,"AAAAAFq/a1w=")</f>
        <v>#REF!</v>
      </c>
      <c r="CP25" t="e">
        <f>AND(#REF!,"AAAAAFq/a10=")</f>
        <v>#REF!</v>
      </c>
      <c r="CQ25" t="e">
        <f>AND(#REF!,"AAAAAFq/a14=")</f>
        <v>#REF!</v>
      </c>
      <c r="CR25" t="e">
        <f>AND(#REF!,"AAAAAFq/a18=")</f>
        <v>#REF!</v>
      </c>
      <c r="CS25" t="e">
        <f>AND(#REF!,"AAAAAFq/a2A=")</f>
        <v>#REF!</v>
      </c>
      <c r="CT25" t="e">
        <f>AND(#REF!,"AAAAAFq/a2E=")</f>
        <v>#REF!</v>
      </c>
      <c r="CU25" t="e">
        <f>AND(#REF!,"AAAAAFq/a2I=")</f>
        <v>#REF!</v>
      </c>
      <c r="CV25" t="e">
        <f>IF(#REF!,"AAAAAFq/a2M=",0)</f>
        <v>#REF!</v>
      </c>
      <c r="CW25" t="e">
        <f>AND(#REF!,"AAAAAFq/a2Q=")</f>
        <v>#REF!</v>
      </c>
      <c r="CX25" t="e">
        <f>AND(#REF!,"AAAAAFq/a2U=")</f>
        <v>#REF!</v>
      </c>
      <c r="CY25" t="e">
        <f>AND(#REF!,"AAAAAFq/a2Y=")</f>
        <v>#REF!</v>
      </c>
      <c r="CZ25" t="e">
        <f>AND(#REF!,"AAAAAFq/a2c=")</f>
        <v>#REF!</v>
      </c>
      <c r="DA25" t="e">
        <f>AND(#REF!,"AAAAAFq/a2g=")</f>
        <v>#REF!</v>
      </c>
      <c r="DB25" t="e">
        <f>AND(#REF!,"AAAAAFq/a2k=")</f>
        <v>#REF!</v>
      </c>
      <c r="DC25" t="e">
        <f>AND(#REF!,"AAAAAFq/a2o=")</f>
        <v>#REF!</v>
      </c>
      <c r="DD25" t="e">
        <f>AND(#REF!,"AAAAAFq/a2s=")</f>
        <v>#REF!</v>
      </c>
      <c r="DE25" t="e">
        <f>AND(#REF!,"AAAAAFq/a2w=")</f>
        <v>#REF!</v>
      </c>
      <c r="DF25" t="e">
        <f>AND(#REF!,"AAAAAFq/a20=")</f>
        <v>#REF!</v>
      </c>
      <c r="DG25" t="e">
        <f>AND(#REF!,"AAAAAFq/a24=")</f>
        <v>#REF!</v>
      </c>
      <c r="DH25" t="e">
        <f>AND(#REF!,"AAAAAFq/a28=")</f>
        <v>#REF!</v>
      </c>
      <c r="DI25" t="e">
        <f>AND(#REF!,"AAAAAFq/a3A=")</f>
        <v>#REF!</v>
      </c>
      <c r="DJ25" t="e">
        <f>IF(#REF!,"AAAAAFq/a3E=",0)</f>
        <v>#REF!</v>
      </c>
      <c r="DK25" t="e">
        <f>AND(#REF!,"AAAAAFq/a3I=")</f>
        <v>#REF!</v>
      </c>
      <c r="DL25" t="e">
        <f>AND(#REF!,"AAAAAFq/a3M=")</f>
        <v>#REF!</v>
      </c>
      <c r="DM25" t="e">
        <f>AND(#REF!,"AAAAAFq/a3Q=")</f>
        <v>#REF!</v>
      </c>
      <c r="DN25" t="e">
        <f>AND(#REF!,"AAAAAFq/a3U=")</f>
        <v>#REF!</v>
      </c>
      <c r="DO25" t="e">
        <f>AND(#REF!,"AAAAAFq/a3Y=")</f>
        <v>#REF!</v>
      </c>
      <c r="DP25" t="e">
        <f>AND(#REF!,"AAAAAFq/a3c=")</f>
        <v>#REF!</v>
      </c>
      <c r="DQ25" t="e">
        <f>AND(#REF!,"AAAAAFq/a3g=")</f>
        <v>#REF!</v>
      </c>
      <c r="DR25" t="e">
        <f>AND(#REF!,"AAAAAFq/a3k=")</f>
        <v>#REF!</v>
      </c>
      <c r="DS25" t="e">
        <f>AND(#REF!,"AAAAAFq/a3o=")</f>
        <v>#REF!</v>
      </c>
      <c r="DT25" t="e">
        <f>AND(#REF!,"AAAAAFq/a3s=")</f>
        <v>#REF!</v>
      </c>
      <c r="DU25" t="e">
        <f>AND(#REF!,"AAAAAFq/a3w=")</f>
        <v>#REF!</v>
      </c>
      <c r="DV25" t="e">
        <f>AND(#REF!,"AAAAAFq/a30=")</f>
        <v>#REF!</v>
      </c>
      <c r="DW25" t="e">
        <f>AND(#REF!,"AAAAAFq/a34=")</f>
        <v>#REF!</v>
      </c>
      <c r="DX25" t="e">
        <f>IF(#REF!,"AAAAAFq/a38=",0)</f>
        <v>#REF!</v>
      </c>
      <c r="DY25" t="e">
        <f>AND(#REF!,"AAAAAFq/a4A=")</f>
        <v>#REF!</v>
      </c>
      <c r="DZ25" t="e">
        <f>AND(#REF!,"AAAAAFq/a4E=")</f>
        <v>#REF!</v>
      </c>
      <c r="EA25" t="e">
        <f>AND(#REF!,"AAAAAFq/a4I=")</f>
        <v>#REF!</v>
      </c>
      <c r="EB25" t="e">
        <f>AND(#REF!,"AAAAAFq/a4M=")</f>
        <v>#REF!</v>
      </c>
      <c r="EC25" t="e">
        <f>AND(#REF!,"AAAAAFq/a4Q=")</f>
        <v>#REF!</v>
      </c>
      <c r="ED25" t="e">
        <f>AND(#REF!,"AAAAAFq/a4U=")</f>
        <v>#REF!</v>
      </c>
      <c r="EE25" t="e">
        <f>AND(#REF!,"AAAAAFq/a4Y=")</f>
        <v>#REF!</v>
      </c>
      <c r="EF25" t="e">
        <f>AND(#REF!,"AAAAAFq/a4c=")</f>
        <v>#REF!</v>
      </c>
      <c r="EG25" t="e">
        <f>AND(#REF!,"AAAAAFq/a4g=")</f>
        <v>#REF!</v>
      </c>
      <c r="EH25" t="e">
        <f>AND(#REF!,"AAAAAFq/a4k=")</f>
        <v>#REF!</v>
      </c>
      <c r="EI25" t="e">
        <f>AND(#REF!,"AAAAAFq/a4o=")</f>
        <v>#REF!</v>
      </c>
      <c r="EJ25" t="e">
        <f>AND(#REF!,"AAAAAFq/a4s=")</f>
        <v>#REF!</v>
      </c>
      <c r="EK25" t="e">
        <f>AND(#REF!,"AAAAAFq/a4w=")</f>
        <v>#REF!</v>
      </c>
      <c r="EL25" t="e">
        <f>IF(#REF!,"AAAAAFq/a40=",0)</f>
        <v>#REF!</v>
      </c>
      <c r="EM25" t="e">
        <f>AND(#REF!,"AAAAAFq/a44=")</f>
        <v>#REF!</v>
      </c>
      <c r="EN25" t="e">
        <f>AND(#REF!,"AAAAAFq/a48=")</f>
        <v>#REF!</v>
      </c>
      <c r="EO25" t="e">
        <f>AND(#REF!,"AAAAAFq/a5A=")</f>
        <v>#REF!</v>
      </c>
      <c r="EP25" t="e">
        <f>AND(#REF!,"AAAAAFq/a5E=")</f>
        <v>#REF!</v>
      </c>
      <c r="EQ25" t="e">
        <f>AND(#REF!,"AAAAAFq/a5I=")</f>
        <v>#REF!</v>
      </c>
      <c r="ER25" t="e">
        <f>AND(#REF!,"AAAAAFq/a5M=")</f>
        <v>#REF!</v>
      </c>
      <c r="ES25" t="e">
        <f>AND(#REF!,"AAAAAFq/a5Q=")</f>
        <v>#REF!</v>
      </c>
      <c r="ET25" t="e">
        <f>AND(#REF!,"AAAAAFq/a5U=")</f>
        <v>#REF!</v>
      </c>
      <c r="EU25" t="e">
        <f>AND(#REF!,"AAAAAFq/a5Y=")</f>
        <v>#REF!</v>
      </c>
      <c r="EV25" t="e">
        <f>AND(#REF!,"AAAAAFq/a5c=")</f>
        <v>#REF!</v>
      </c>
      <c r="EW25" t="e">
        <f>AND(#REF!,"AAAAAFq/a5g=")</f>
        <v>#REF!</v>
      </c>
      <c r="EX25" t="e">
        <f>AND(#REF!,"AAAAAFq/a5k=")</f>
        <v>#REF!</v>
      </c>
      <c r="EY25" t="e">
        <f>AND(#REF!,"AAAAAFq/a5o=")</f>
        <v>#REF!</v>
      </c>
      <c r="EZ25" t="e">
        <f>IF(#REF!,"AAAAAFq/a5s=",0)</f>
        <v>#REF!</v>
      </c>
      <c r="FA25" t="e">
        <f>AND(#REF!,"AAAAAFq/a5w=")</f>
        <v>#REF!</v>
      </c>
      <c r="FB25" t="e">
        <f>AND(#REF!,"AAAAAFq/a50=")</f>
        <v>#REF!</v>
      </c>
      <c r="FC25" t="e">
        <f>AND(#REF!,"AAAAAFq/a54=")</f>
        <v>#REF!</v>
      </c>
      <c r="FD25" t="e">
        <f>AND(#REF!,"AAAAAFq/a58=")</f>
        <v>#REF!</v>
      </c>
      <c r="FE25" t="e">
        <f>AND(#REF!,"AAAAAFq/a6A=")</f>
        <v>#REF!</v>
      </c>
      <c r="FF25" t="e">
        <f>AND(#REF!,"AAAAAFq/a6E=")</f>
        <v>#REF!</v>
      </c>
      <c r="FG25" t="e">
        <f>AND(#REF!,"AAAAAFq/a6I=")</f>
        <v>#REF!</v>
      </c>
      <c r="FH25" t="e">
        <f>AND(#REF!,"AAAAAFq/a6M=")</f>
        <v>#REF!</v>
      </c>
      <c r="FI25" t="e">
        <f>AND(#REF!,"AAAAAFq/a6Q=")</f>
        <v>#REF!</v>
      </c>
      <c r="FJ25" t="e">
        <f>AND(#REF!,"AAAAAFq/a6U=")</f>
        <v>#REF!</v>
      </c>
      <c r="FK25" t="e">
        <f>AND(#REF!,"AAAAAFq/a6Y=")</f>
        <v>#REF!</v>
      </c>
      <c r="FL25" t="e">
        <f>AND(#REF!,"AAAAAFq/a6c=")</f>
        <v>#REF!</v>
      </c>
      <c r="FM25" t="e">
        <f>AND(#REF!,"AAAAAFq/a6g=")</f>
        <v>#REF!</v>
      </c>
      <c r="FN25" t="e">
        <f>IF(#REF!,"AAAAAFq/a6k=",0)</f>
        <v>#REF!</v>
      </c>
      <c r="FO25" t="e">
        <f>AND(#REF!,"AAAAAFq/a6o=")</f>
        <v>#REF!</v>
      </c>
      <c r="FP25" t="e">
        <f>AND(#REF!,"AAAAAFq/a6s=")</f>
        <v>#REF!</v>
      </c>
      <c r="FQ25" t="e">
        <f>AND(#REF!,"AAAAAFq/a6w=")</f>
        <v>#REF!</v>
      </c>
      <c r="FR25" t="e">
        <f>AND(#REF!,"AAAAAFq/a60=")</f>
        <v>#REF!</v>
      </c>
      <c r="FS25" t="e">
        <f>AND(#REF!,"AAAAAFq/a64=")</f>
        <v>#REF!</v>
      </c>
      <c r="FT25" t="e">
        <f>AND(#REF!,"AAAAAFq/a68=")</f>
        <v>#REF!</v>
      </c>
      <c r="FU25" t="e">
        <f>AND(#REF!,"AAAAAFq/a7A=")</f>
        <v>#REF!</v>
      </c>
      <c r="FV25" t="e">
        <f>AND(#REF!,"AAAAAFq/a7E=")</f>
        <v>#REF!</v>
      </c>
      <c r="FW25" t="e">
        <f>AND(#REF!,"AAAAAFq/a7I=")</f>
        <v>#REF!</v>
      </c>
      <c r="FX25" t="e">
        <f>AND(#REF!,"AAAAAFq/a7M=")</f>
        <v>#REF!</v>
      </c>
      <c r="FY25" t="e">
        <f>AND(#REF!,"AAAAAFq/a7Q=")</f>
        <v>#REF!</v>
      </c>
      <c r="FZ25" t="e">
        <f>AND(#REF!,"AAAAAFq/a7U=")</f>
        <v>#REF!</v>
      </c>
      <c r="GA25" t="e">
        <f>AND(#REF!,"AAAAAFq/a7Y=")</f>
        <v>#REF!</v>
      </c>
      <c r="GB25" t="e">
        <f>IF(#REF!,"AAAAAFq/a7c=",0)</f>
        <v>#REF!</v>
      </c>
      <c r="GC25" t="e">
        <f>AND(#REF!,"AAAAAFq/a7g=")</f>
        <v>#REF!</v>
      </c>
      <c r="GD25" t="e">
        <f>AND(#REF!,"AAAAAFq/a7k=")</f>
        <v>#REF!</v>
      </c>
      <c r="GE25" t="e">
        <f>AND(#REF!,"AAAAAFq/a7o=")</f>
        <v>#REF!</v>
      </c>
      <c r="GF25" t="e">
        <f>AND(#REF!,"AAAAAFq/a7s=")</f>
        <v>#REF!</v>
      </c>
      <c r="GG25" t="e">
        <f>AND(#REF!,"AAAAAFq/a7w=")</f>
        <v>#REF!</v>
      </c>
      <c r="GH25" t="e">
        <f>AND(#REF!,"AAAAAFq/a70=")</f>
        <v>#REF!</v>
      </c>
      <c r="GI25" t="e">
        <f>AND(#REF!,"AAAAAFq/a74=")</f>
        <v>#REF!</v>
      </c>
      <c r="GJ25" t="e">
        <f>AND(#REF!,"AAAAAFq/a78=")</f>
        <v>#REF!</v>
      </c>
      <c r="GK25" t="e">
        <f>AND(#REF!,"AAAAAFq/a8A=")</f>
        <v>#REF!</v>
      </c>
      <c r="GL25" t="e">
        <f>AND(#REF!,"AAAAAFq/a8E=")</f>
        <v>#REF!</v>
      </c>
      <c r="GM25" t="e">
        <f>AND(#REF!,"AAAAAFq/a8I=")</f>
        <v>#REF!</v>
      </c>
      <c r="GN25" t="e">
        <f>AND(#REF!,"AAAAAFq/a8M=")</f>
        <v>#REF!</v>
      </c>
      <c r="GO25" t="e">
        <f>AND(#REF!,"AAAAAFq/a8Q=")</f>
        <v>#REF!</v>
      </c>
      <c r="GP25" t="e">
        <f>IF(#REF!,"AAAAAFq/a8U=",0)</f>
        <v>#REF!</v>
      </c>
      <c r="GQ25" t="e">
        <f>AND(#REF!,"AAAAAFq/a8Y=")</f>
        <v>#REF!</v>
      </c>
      <c r="GR25" t="e">
        <f>AND(#REF!,"AAAAAFq/a8c=")</f>
        <v>#REF!</v>
      </c>
      <c r="GS25" t="e">
        <f>AND(#REF!,"AAAAAFq/a8g=")</f>
        <v>#REF!</v>
      </c>
      <c r="GT25" t="e">
        <f>AND(#REF!,"AAAAAFq/a8k=")</f>
        <v>#REF!</v>
      </c>
      <c r="GU25" t="e">
        <f>AND(#REF!,"AAAAAFq/a8o=")</f>
        <v>#REF!</v>
      </c>
      <c r="GV25" t="e">
        <f>AND(#REF!,"AAAAAFq/a8s=")</f>
        <v>#REF!</v>
      </c>
      <c r="GW25" t="e">
        <f>AND(#REF!,"AAAAAFq/a8w=")</f>
        <v>#REF!</v>
      </c>
      <c r="GX25" t="e">
        <f>AND(#REF!,"AAAAAFq/a80=")</f>
        <v>#REF!</v>
      </c>
      <c r="GY25" t="e">
        <f>AND(#REF!,"AAAAAFq/a84=")</f>
        <v>#REF!</v>
      </c>
      <c r="GZ25" t="e">
        <f>AND(#REF!,"AAAAAFq/a88=")</f>
        <v>#REF!</v>
      </c>
      <c r="HA25" t="e">
        <f>AND(#REF!,"AAAAAFq/a9A=")</f>
        <v>#REF!</v>
      </c>
      <c r="HB25" t="e">
        <f>AND(#REF!,"AAAAAFq/a9E=")</f>
        <v>#REF!</v>
      </c>
      <c r="HC25" t="e">
        <f>AND(#REF!,"AAAAAFq/a9I=")</f>
        <v>#REF!</v>
      </c>
      <c r="HD25" t="e">
        <f>IF(#REF!,"AAAAAFq/a9M=",0)</f>
        <v>#REF!</v>
      </c>
      <c r="HE25" t="e">
        <f>AND(#REF!,"AAAAAFq/a9Q=")</f>
        <v>#REF!</v>
      </c>
      <c r="HF25" t="e">
        <f>AND(#REF!,"AAAAAFq/a9U=")</f>
        <v>#REF!</v>
      </c>
      <c r="HG25" t="e">
        <f>AND(#REF!,"AAAAAFq/a9Y=")</f>
        <v>#REF!</v>
      </c>
      <c r="HH25" t="e">
        <f>AND(#REF!,"AAAAAFq/a9c=")</f>
        <v>#REF!</v>
      </c>
      <c r="HI25" t="e">
        <f>AND(#REF!,"AAAAAFq/a9g=")</f>
        <v>#REF!</v>
      </c>
      <c r="HJ25" t="e">
        <f>AND(#REF!,"AAAAAFq/a9k=")</f>
        <v>#REF!</v>
      </c>
      <c r="HK25" t="e">
        <f>AND(#REF!,"AAAAAFq/a9o=")</f>
        <v>#REF!</v>
      </c>
      <c r="HL25" t="e">
        <f>AND(#REF!,"AAAAAFq/a9s=")</f>
        <v>#REF!</v>
      </c>
      <c r="HM25" t="e">
        <f>AND(#REF!,"AAAAAFq/a9w=")</f>
        <v>#REF!</v>
      </c>
      <c r="HN25" t="e">
        <f>AND(#REF!,"AAAAAFq/a90=")</f>
        <v>#REF!</v>
      </c>
      <c r="HO25" t="e">
        <f>AND(#REF!,"AAAAAFq/a94=")</f>
        <v>#REF!</v>
      </c>
      <c r="HP25" t="e">
        <f>AND(#REF!,"AAAAAFq/a98=")</f>
        <v>#REF!</v>
      </c>
      <c r="HQ25" t="e">
        <f>AND(#REF!,"AAAAAFq/a+A=")</f>
        <v>#REF!</v>
      </c>
      <c r="HR25" t="e">
        <f>IF(#REF!,"AAAAAFq/a+E=",0)</f>
        <v>#REF!</v>
      </c>
      <c r="HS25" t="e">
        <f>AND(#REF!,"AAAAAFq/a+I=")</f>
        <v>#REF!</v>
      </c>
      <c r="HT25" t="e">
        <f>AND(#REF!,"AAAAAFq/a+M=")</f>
        <v>#REF!</v>
      </c>
      <c r="HU25" t="e">
        <f>AND(#REF!,"AAAAAFq/a+Q=")</f>
        <v>#REF!</v>
      </c>
      <c r="HV25" t="e">
        <f>AND(#REF!,"AAAAAFq/a+U=")</f>
        <v>#REF!</v>
      </c>
      <c r="HW25" t="e">
        <f>AND(#REF!,"AAAAAFq/a+Y=")</f>
        <v>#REF!</v>
      </c>
      <c r="HX25" t="e">
        <f>AND(#REF!,"AAAAAFq/a+c=")</f>
        <v>#REF!</v>
      </c>
      <c r="HY25" t="e">
        <f>AND(#REF!,"AAAAAFq/a+g=")</f>
        <v>#REF!</v>
      </c>
      <c r="HZ25" t="e">
        <f>AND(#REF!,"AAAAAFq/a+k=")</f>
        <v>#REF!</v>
      </c>
      <c r="IA25" t="e">
        <f>AND(#REF!,"AAAAAFq/a+o=")</f>
        <v>#REF!</v>
      </c>
      <c r="IB25" t="e">
        <f>AND(#REF!,"AAAAAFq/a+s=")</f>
        <v>#REF!</v>
      </c>
      <c r="IC25" t="e">
        <f>AND(#REF!,"AAAAAFq/a+w=")</f>
        <v>#REF!</v>
      </c>
      <c r="ID25" t="e">
        <f>AND(#REF!,"AAAAAFq/a+0=")</f>
        <v>#REF!</v>
      </c>
      <c r="IE25" t="e">
        <f>AND(#REF!,"AAAAAFq/a+4=")</f>
        <v>#REF!</v>
      </c>
      <c r="IF25" t="e">
        <f>IF(#REF!,"AAAAAFq/a+8=",0)</f>
        <v>#REF!</v>
      </c>
      <c r="IG25" t="e">
        <f>AND(#REF!,"AAAAAFq/a/A=")</f>
        <v>#REF!</v>
      </c>
      <c r="IH25" t="e">
        <f>AND(#REF!,"AAAAAFq/a/E=")</f>
        <v>#REF!</v>
      </c>
      <c r="II25" t="e">
        <f>IF(#REF!,"AAAAAFq/a/I=",0)</f>
        <v>#REF!</v>
      </c>
      <c r="IJ25" t="e">
        <f>AND(#REF!,"AAAAAFq/a/M=")</f>
        <v>#REF!</v>
      </c>
      <c r="IK25" t="e">
        <f>AND(#REF!,"AAAAAFq/a/Q=")</f>
        <v>#REF!</v>
      </c>
      <c r="IL25" t="e">
        <f>IF(#REF!,"AAAAAFq/a/U=",0)</f>
        <v>#REF!</v>
      </c>
      <c r="IM25" t="e">
        <f>AND(#REF!,"AAAAAFq/a/Y=")</f>
        <v>#REF!</v>
      </c>
      <c r="IN25" t="e">
        <f>AND(#REF!,"AAAAAFq/a/c=")</f>
        <v>#REF!</v>
      </c>
      <c r="IO25" t="e">
        <f>IF(#REF!,"AAAAAFq/a/g=",0)</f>
        <v>#REF!</v>
      </c>
      <c r="IP25" t="e">
        <f>AND(#REF!,"AAAAAFq/a/k=")</f>
        <v>#REF!</v>
      </c>
      <c r="IQ25" t="e">
        <f>AND(#REF!,"AAAAAFq/a/o=")</f>
        <v>#REF!</v>
      </c>
      <c r="IR25" t="e">
        <f>IF(#REF!,"AAAAAFq/a/s=",0)</f>
        <v>#REF!</v>
      </c>
      <c r="IS25" t="e">
        <f>AND(#REF!,"AAAAAFq/a/w=")</f>
        <v>#REF!</v>
      </c>
      <c r="IT25" t="e">
        <f>AND(#REF!,"AAAAAFq/a/0=")</f>
        <v>#REF!</v>
      </c>
      <c r="IU25" t="e">
        <f>IF(#REF!,"AAAAAFq/a/4=",0)</f>
        <v>#REF!</v>
      </c>
      <c r="IV25" t="e">
        <f>AND(#REF!,"AAAAAFq/a/8=")</f>
        <v>#REF!</v>
      </c>
    </row>
    <row r="26" spans="1:256" ht="15">
      <c r="A26" t="e">
        <f>AND(#REF!,"AAAAAH+91wA=")</f>
        <v>#REF!</v>
      </c>
      <c r="B26" t="e">
        <f>IF(#REF!,"AAAAAH+91wE=",0)</f>
        <v>#REF!</v>
      </c>
      <c r="C26" t="e">
        <f>AND(#REF!,"AAAAAH+91wI=")</f>
        <v>#REF!</v>
      </c>
      <c r="D26" t="e">
        <f>AND(#REF!,"AAAAAH+91wM=")</f>
        <v>#REF!</v>
      </c>
      <c r="E26" t="e">
        <f>IF(#REF!,"AAAAAH+91wQ=",0)</f>
        <v>#REF!</v>
      </c>
      <c r="F26" t="e">
        <f>IF(#REF!,"AAAAAH+91wU=",0)</f>
        <v>#REF!</v>
      </c>
      <c r="G26" t="e">
        <f>IF(#REF!,"AAAAAH+91wY=",0)</f>
        <v>#REF!</v>
      </c>
      <c r="H26" t="e">
        <f>IF(#REF!,"AAAAAH+91wc=",0)</f>
        <v>#REF!</v>
      </c>
      <c r="I26" t="e">
        <f>IF(#REF!,"AAAAAH+91wg=",0)</f>
        <v>#REF!</v>
      </c>
      <c r="J26" t="e">
        <f>IF(#REF!,"AAAAAH+91wk=",0)</f>
        <v>#REF!</v>
      </c>
      <c r="K26" t="e">
        <f>IF(#REF!,"AAAAAH+91wo=",0)</f>
        <v>#REF!</v>
      </c>
      <c r="L26" t="e">
        <f>IF(#REF!,"AAAAAH+91ws=",0)</f>
        <v>#REF!</v>
      </c>
      <c r="M26" t="e">
        <f>IF(#REF!,"AAAAAH+91ww=",0)</f>
        <v>#REF!</v>
      </c>
      <c r="N26" t="e">
        <f>IF(#REF!,"AAAAAH+91w0=",0)</f>
        <v>#REF!</v>
      </c>
      <c r="O26" t="e">
        <f>IF(#REF!,"AAAAAH+91w4=",0)</f>
        <v>#REF!</v>
      </c>
      <c r="P26" t="e">
        <f>IF(#REF!,"AAAAAH+91w8=",0)</f>
        <v>#REF!</v>
      </c>
      <c r="Q26" t="e">
        <f>IF(#REF!,"AAAAAH+91xA=",0)</f>
        <v>#REF!</v>
      </c>
      <c r="R26" t="e">
        <f>IF(#REF!,"AAAAAH+91xE=",0)</f>
        <v>#REF!</v>
      </c>
      <c r="S26" t="e">
        <f>IF(#REF!,"AAAAAH+91xI=",0)</f>
        <v>#REF!</v>
      </c>
      <c r="T26" t="e">
        <f>AND(#REF!,"AAAAAH+91xM=")</f>
        <v>#REF!</v>
      </c>
      <c r="U26" t="e">
        <f>AND(#REF!,"AAAAAH+91xQ=")</f>
        <v>#REF!</v>
      </c>
      <c r="V26" t="e">
        <f>AND(#REF!,"AAAAAH+91xU=")</f>
        <v>#REF!</v>
      </c>
      <c r="W26" t="e">
        <f>AND(#REF!,"AAAAAH+91xY=")</f>
        <v>#REF!</v>
      </c>
      <c r="X26" t="e">
        <f>AND(#REF!,"AAAAAH+91xc=")</f>
        <v>#REF!</v>
      </c>
      <c r="Y26" t="e">
        <f>AND(#REF!,"AAAAAH+91xg=")</f>
        <v>#REF!</v>
      </c>
      <c r="Z26" t="e">
        <f>AND(#REF!,"AAAAAH+91xk=")</f>
        <v>#REF!</v>
      </c>
      <c r="AA26" t="e">
        <f>AND(#REF!,"AAAAAH+91xo=")</f>
        <v>#REF!</v>
      </c>
      <c r="AB26" t="e">
        <f>AND(#REF!,"AAAAAH+91xs=")</f>
        <v>#REF!</v>
      </c>
      <c r="AC26" t="e">
        <f>IF(#REF!,"AAAAAH+91xw=",0)</f>
        <v>#REF!</v>
      </c>
      <c r="AD26" t="e">
        <f>AND(#REF!,"AAAAAH+91x0=")</f>
        <v>#REF!</v>
      </c>
      <c r="AE26" t="e">
        <f>AND(#REF!,"AAAAAH+91x4=")</f>
        <v>#REF!</v>
      </c>
      <c r="AF26" t="e">
        <f>AND(#REF!,"AAAAAH+91x8=")</f>
        <v>#REF!</v>
      </c>
      <c r="AG26" t="e">
        <f>AND(#REF!,"AAAAAH+91yA=")</f>
        <v>#REF!</v>
      </c>
      <c r="AH26" t="e">
        <f>AND(#REF!,"AAAAAH+91yE=")</f>
        <v>#REF!</v>
      </c>
      <c r="AI26" t="e">
        <f>AND(#REF!,"AAAAAH+91yI=")</f>
        <v>#REF!</v>
      </c>
      <c r="AJ26" t="e">
        <f>AND(#REF!,"AAAAAH+91yM=")</f>
        <v>#REF!</v>
      </c>
      <c r="AK26" t="e">
        <f>AND(#REF!,"AAAAAH+91yQ=")</f>
        <v>#REF!</v>
      </c>
      <c r="AL26" t="e">
        <f>AND(#REF!,"AAAAAH+91yU=")</f>
        <v>#REF!</v>
      </c>
      <c r="AM26" t="e">
        <f>IF(#REF!,"AAAAAH+91yY=",0)</f>
        <v>#REF!</v>
      </c>
      <c r="AN26" t="e">
        <f>AND(#REF!,"AAAAAH+91yc=")</f>
        <v>#REF!</v>
      </c>
      <c r="AO26" t="e">
        <f>AND(#REF!,"AAAAAH+91yg=")</f>
        <v>#REF!</v>
      </c>
      <c r="AP26" t="e">
        <f>AND(#REF!,"AAAAAH+91yk=")</f>
        <v>#REF!</v>
      </c>
      <c r="AQ26" t="e">
        <f>AND(#REF!,"AAAAAH+91yo=")</f>
        <v>#REF!</v>
      </c>
      <c r="AR26" t="e">
        <f>AND(#REF!,"AAAAAH+91ys=")</f>
        <v>#REF!</v>
      </c>
      <c r="AS26" t="e">
        <f>AND(#REF!,"AAAAAH+91yw=")</f>
        <v>#REF!</v>
      </c>
      <c r="AT26" t="e">
        <f>AND(#REF!,"AAAAAH+91y0=")</f>
        <v>#REF!</v>
      </c>
      <c r="AU26" t="e">
        <f>AND(#REF!,"AAAAAH+91y4=")</f>
        <v>#REF!</v>
      </c>
      <c r="AV26" t="e">
        <f>AND(#REF!,"AAAAAH+91y8=")</f>
        <v>#REF!</v>
      </c>
      <c r="AW26" t="e">
        <f>IF(#REF!,"AAAAAH+91zA=",0)</f>
        <v>#REF!</v>
      </c>
      <c r="AX26" t="e">
        <f>AND(#REF!,"AAAAAH+91zE=")</f>
        <v>#REF!</v>
      </c>
      <c r="AY26" t="e">
        <f>AND(#REF!,"AAAAAH+91zI=")</f>
        <v>#REF!</v>
      </c>
      <c r="AZ26" t="e">
        <f>AND(#REF!,"AAAAAH+91zM=")</f>
        <v>#REF!</v>
      </c>
      <c r="BA26" t="e">
        <f>AND(#REF!,"AAAAAH+91zQ=")</f>
        <v>#REF!</v>
      </c>
      <c r="BB26" t="e">
        <f>AND(#REF!,"AAAAAH+91zU=")</f>
        <v>#REF!</v>
      </c>
      <c r="BC26" t="e">
        <f>AND(#REF!,"AAAAAH+91zY=")</f>
        <v>#REF!</v>
      </c>
      <c r="BD26" t="e">
        <f>AND(#REF!,"AAAAAH+91zc=")</f>
        <v>#REF!</v>
      </c>
      <c r="BE26" t="e">
        <f>AND(#REF!,"AAAAAH+91zg=")</f>
        <v>#REF!</v>
      </c>
      <c r="BF26" t="e">
        <f>AND(#REF!,"AAAAAH+91zk=")</f>
        <v>#REF!</v>
      </c>
      <c r="BG26" t="e">
        <f>IF(#REF!,"AAAAAH+91zo=",0)</f>
        <v>#REF!</v>
      </c>
      <c r="BH26" t="e">
        <f>AND(#REF!,"AAAAAH+91zs=")</f>
        <v>#REF!</v>
      </c>
      <c r="BI26" t="e">
        <f>AND(#REF!,"AAAAAH+91zw=")</f>
        <v>#REF!</v>
      </c>
      <c r="BJ26" t="e">
        <f>AND(#REF!,"AAAAAH+91z0=")</f>
        <v>#REF!</v>
      </c>
      <c r="BK26" t="e">
        <f>AND(#REF!,"AAAAAH+91z4=")</f>
        <v>#REF!</v>
      </c>
      <c r="BL26" t="e">
        <f>AND(#REF!,"AAAAAH+91z8=")</f>
        <v>#REF!</v>
      </c>
      <c r="BM26" t="e">
        <f>AND(#REF!,"AAAAAH+910A=")</f>
        <v>#REF!</v>
      </c>
      <c r="BN26" t="e">
        <f>AND(#REF!,"AAAAAH+910E=")</f>
        <v>#REF!</v>
      </c>
      <c r="BO26" t="e">
        <f>AND(#REF!,"AAAAAH+910I=")</f>
        <v>#REF!</v>
      </c>
      <c r="BP26" t="e">
        <f>AND(#REF!,"AAAAAH+910M=")</f>
        <v>#REF!</v>
      </c>
      <c r="BQ26" t="e">
        <f>IF(#REF!,"AAAAAH+910Q=",0)</f>
        <v>#REF!</v>
      </c>
      <c r="BR26" t="e">
        <f>AND(#REF!,"AAAAAH+910U=")</f>
        <v>#REF!</v>
      </c>
      <c r="BS26" t="e">
        <f>AND(#REF!,"AAAAAH+910Y=")</f>
        <v>#REF!</v>
      </c>
      <c r="BT26" t="e">
        <f>AND(#REF!,"AAAAAH+910c=")</f>
        <v>#REF!</v>
      </c>
      <c r="BU26" t="e">
        <f>AND(#REF!,"AAAAAH+910g=")</f>
        <v>#REF!</v>
      </c>
      <c r="BV26" t="e">
        <f>AND(#REF!,"AAAAAH+910k=")</f>
        <v>#REF!</v>
      </c>
      <c r="BW26" t="e">
        <f>AND(#REF!,"AAAAAH+910o=")</f>
        <v>#REF!</v>
      </c>
      <c r="BX26" t="e">
        <f>AND(#REF!,"AAAAAH+910s=")</f>
        <v>#REF!</v>
      </c>
      <c r="BY26" t="e">
        <f>AND(#REF!,"AAAAAH+910w=")</f>
        <v>#REF!</v>
      </c>
      <c r="BZ26" t="e">
        <f>AND(#REF!,"AAAAAH+9100=")</f>
        <v>#REF!</v>
      </c>
      <c r="CA26" t="e">
        <f>IF(#REF!,"AAAAAH+9104=",0)</f>
        <v>#REF!</v>
      </c>
      <c r="CB26" t="e">
        <f>AND(#REF!,"AAAAAH+9108=")</f>
        <v>#REF!</v>
      </c>
      <c r="CC26" t="e">
        <f>AND(#REF!,"AAAAAH+911A=")</f>
        <v>#REF!</v>
      </c>
      <c r="CD26" t="e">
        <f>AND(#REF!,"AAAAAH+911E=")</f>
        <v>#REF!</v>
      </c>
      <c r="CE26" t="e">
        <f>AND(#REF!,"AAAAAH+911I=")</f>
        <v>#REF!</v>
      </c>
      <c r="CF26" t="e">
        <f>AND(#REF!,"AAAAAH+911M=")</f>
        <v>#REF!</v>
      </c>
      <c r="CG26" t="e">
        <f>AND(#REF!,"AAAAAH+911Q=")</f>
        <v>#REF!</v>
      </c>
      <c r="CH26" t="e">
        <f>AND(#REF!,"AAAAAH+911U=")</f>
        <v>#REF!</v>
      </c>
      <c r="CI26" t="e">
        <f>AND(#REF!,"AAAAAH+911Y=")</f>
        <v>#REF!</v>
      </c>
      <c r="CJ26" t="e">
        <f>AND(#REF!,"AAAAAH+911c=")</f>
        <v>#REF!</v>
      </c>
      <c r="CK26" t="e">
        <f>IF(#REF!,"AAAAAH+911g=",0)</f>
        <v>#REF!</v>
      </c>
      <c r="CL26" t="e">
        <f>AND(#REF!,"AAAAAH+911k=")</f>
        <v>#REF!</v>
      </c>
      <c r="CM26" t="e">
        <f>AND(#REF!,"AAAAAH+911o=")</f>
        <v>#REF!</v>
      </c>
      <c r="CN26" t="e">
        <f>AND(#REF!,"AAAAAH+911s=")</f>
        <v>#REF!</v>
      </c>
      <c r="CO26" t="e">
        <f>AND(#REF!,"AAAAAH+911w=")</f>
        <v>#REF!</v>
      </c>
      <c r="CP26" t="e">
        <f>AND(#REF!,"AAAAAH+9110=")</f>
        <v>#REF!</v>
      </c>
      <c r="CQ26" t="e">
        <f>AND(#REF!,"AAAAAH+9114=")</f>
        <v>#REF!</v>
      </c>
      <c r="CR26" t="e">
        <f>AND(#REF!,"AAAAAH+9118=")</f>
        <v>#REF!</v>
      </c>
      <c r="CS26" t="e">
        <f>AND(#REF!,"AAAAAH+912A=")</f>
        <v>#REF!</v>
      </c>
      <c r="CT26" t="e">
        <f>AND(#REF!,"AAAAAH+912E=")</f>
        <v>#REF!</v>
      </c>
      <c r="CU26" t="e">
        <f>IF(#REF!,"AAAAAH+912I=",0)</f>
        <v>#REF!</v>
      </c>
      <c r="CV26" t="e">
        <f>AND(#REF!,"AAAAAH+912M=")</f>
        <v>#REF!</v>
      </c>
      <c r="CW26" t="e">
        <f>AND(#REF!,"AAAAAH+912Q=")</f>
        <v>#REF!</v>
      </c>
      <c r="CX26" t="e">
        <f>AND(#REF!,"AAAAAH+912U=")</f>
        <v>#REF!</v>
      </c>
      <c r="CY26" t="e">
        <f>AND(#REF!,"AAAAAH+912Y=")</f>
        <v>#REF!</v>
      </c>
      <c r="CZ26" t="e">
        <f>AND(#REF!,"AAAAAH+912c=")</f>
        <v>#REF!</v>
      </c>
      <c r="DA26" t="e">
        <f>AND(#REF!,"AAAAAH+912g=")</f>
        <v>#REF!</v>
      </c>
      <c r="DB26" t="e">
        <f>AND(#REF!,"AAAAAH+912k=")</f>
        <v>#REF!</v>
      </c>
      <c r="DC26" t="e">
        <f>AND(#REF!,"AAAAAH+912o=")</f>
        <v>#REF!</v>
      </c>
      <c r="DD26" t="e">
        <f>AND(#REF!,"AAAAAH+912s=")</f>
        <v>#REF!</v>
      </c>
      <c r="DE26" t="e">
        <f>IF(#REF!,"AAAAAH+912w=",0)</f>
        <v>#REF!</v>
      </c>
      <c r="DF26" t="e">
        <f>AND(#REF!,"AAAAAH+9120=")</f>
        <v>#REF!</v>
      </c>
      <c r="DG26" t="e">
        <f>AND(#REF!,"AAAAAH+9124=")</f>
        <v>#REF!</v>
      </c>
      <c r="DH26" t="e">
        <f>AND(#REF!,"AAAAAH+9128=")</f>
        <v>#REF!</v>
      </c>
      <c r="DI26" t="e">
        <f>AND(#REF!,"AAAAAH+913A=")</f>
        <v>#REF!</v>
      </c>
      <c r="DJ26" t="e">
        <f>AND(#REF!,"AAAAAH+913E=")</f>
        <v>#REF!</v>
      </c>
      <c r="DK26" t="e">
        <f>AND(#REF!,"AAAAAH+913I=")</f>
        <v>#REF!</v>
      </c>
      <c r="DL26" t="e">
        <f>AND(#REF!,"AAAAAH+913M=")</f>
        <v>#REF!</v>
      </c>
      <c r="DM26" t="e">
        <f>AND(#REF!,"AAAAAH+913Q=")</f>
        <v>#REF!</v>
      </c>
      <c r="DN26" t="e">
        <f>AND(#REF!,"AAAAAH+913U=")</f>
        <v>#REF!</v>
      </c>
      <c r="DO26" t="e">
        <f>IF(#REF!,"AAAAAH+913Y=",0)</f>
        <v>#REF!</v>
      </c>
      <c r="DP26" t="e">
        <f>AND(#REF!,"AAAAAH+913c=")</f>
        <v>#REF!</v>
      </c>
      <c r="DQ26" t="e">
        <f>AND(#REF!,"AAAAAH+913g=")</f>
        <v>#REF!</v>
      </c>
      <c r="DR26" t="e">
        <f>AND(#REF!,"AAAAAH+913k=")</f>
        <v>#REF!</v>
      </c>
      <c r="DS26" t="e">
        <f>AND(#REF!,"AAAAAH+913o=")</f>
        <v>#REF!</v>
      </c>
      <c r="DT26" t="e">
        <f>AND(#REF!,"AAAAAH+913s=")</f>
        <v>#REF!</v>
      </c>
      <c r="DU26" t="e">
        <f>AND(#REF!,"AAAAAH+913w=")</f>
        <v>#REF!</v>
      </c>
      <c r="DV26" t="e">
        <f>AND(#REF!,"AAAAAH+9130=")</f>
        <v>#REF!</v>
      </c>
      <c r="DW26" t="e">
        <f>AND(#REF!,"AAAAAH+9134=")</f>
        <v>#REF!</v>
      </c>
      <c r="DX26" t="e">
        <f>AND(#REF!,"AAAAAH+9138=")</f>
        <v>#REF!</v>
      </c>
      <c r="DY26" t="e">
        <f>IF(#REF!,"AAAAAH+914A=",0)</f>
        <v>#REF!</v>
      </c>
      <c r="DZ26" t="e">
        <f>AND(#REF!,"AAAAAH+914E=")</f>
        <v>#REF!</v>
      </c>
      <c r="EA26" t="e">
        <f>AND(#REF!,"AAAAAH+914I=")</f>
        <v>#REF!</v>
      </c>
      <c r="EB26" t="e">
        <f>AND(#REF!,"AAAAAH+914M=")</f>
        <v>#REF!</v>
      </c>
      <c r="EC26" t="e">
        <f>AND(#REF!,"AAAAAH+914Q=")</f>
        <v>#REF!</v>
      </c>
      <c r="ED26" t="e">
        <f>AND(#REF!,"AAAAAH+914U=")</f>
        <v>#REF!</v>
      </c>
      <c r="EE26" t="e">
        <f>AND(#REF!,"AAAAAH+914Y=")</f>
        <v>#REF!</v>
      </c>
      <c r="EF26" t="e">
        <f>AND(#REF!,"AAAAAH+914c=")</f>
        <v>#REF!</v>
      </c>
      <c r="EG26" t="e">
        <f>AND(#REF!,"AAAAAH+914g=")</f>
        <v>#REF!</v>
      </c>
      <c r="EH26" t="e">
        <f>AND(#REF!,"AAAAAH+914k=")</f>
        <v>#REF!</v>
      </c>
      <c r="EI26" t="e">
        <f>IF(#REF!,"AAAAAH+914o=",0)</f>
        <v>#REF!</v>
      </c>
      <c r="EJ26" t="e">
        <f>AND(#REF!,"AAAAAH+914s=")</f>
        <v>#REF!</v>
      </c>
      <c r="EK26" t="e">
        <f>AND(#REF!,"AAAAAH+914w=")</f>
        <v>#REF!</v>
      </c>
      <c r="EL26" t="e">
        <f>AND(#REF!,"AAAAAH+9140=")</f>
        <v>#REF!</v>
      </c>
      <c r="EM26" t="e">
        <f>AND(#REF!,"AAAAAH+9144=")</f>
        <v>#REF!</v>
      </c>
      <c r="EN26" t="e">
        <f>AND(#REF!,"AAAAAH+9148=")</f>
        <v>#REF!</v>
      </c>
      <c r="EO26" t="e">
        <f>AND(#REF!,"AAAAAH+915A=")</f>
        <v>#REF!</v>
      </c>
      <c r="EP26" t="e">
        <f>AND(#REF!,"AAAAAH+915E=")</f>
        <v>#REF!</v>
      </c>
      <c r="EQ26" t="e">
        <f>AND(#REF!,"AAAAAH+915I=")</f>
        <v>#REF!</v>
      </c>
      <c r="ER26" t="e">
        <f>AND(#REF!,"AAAAAH+915M=")</f>
        <v>#REF!</v>
      </c>
      <c r="ES26" t="e">
        <f>IF(#REF!,"AAAAAH+915Q=",0)</f>
        <v>#REF!</v>
      </c>
      <c r="ET26" t="e">
        <f>AND(#REF!,"AAAAAH+915U=")</f>
        <v>#REF!</v>
      </c>
      <c r="EU26" t="e">
        <f>AND(#REF!,"AAAAAH+915Y=")</f>
        <v>#REF!</v>
      </c>
      <c r="EV26" t="e">
        <f>AND(#REF!,"AAAAAH+915c=")</f>
        <v>#REF!</v>
      </c>
      <c r="EW26" t="e">
        <f>AND(#REF!,"AAAAAH+915g=")</f>
        <v>#REF!</v>
      </c>
      <c r="EX26" t="e">
        <f>AND(#REF!,"AAAAAH+915k=")</f>
        <v>#REF!</v>
      </c>
      <c r="EY26" t="e">
        <f>AND(#REF!,"AAAAAH+915o=")</f>
        <v>#REF!</v>
      </c>
      <c r="EZ26" t="e">
        <f>AND(#REF!,"AAAAAH+915s=")</f>
        <v>#REF!</v>
      </c>
      <c r="FA26" t="e">
        <f>AND(#REF!,"AAAAAH+915w=")</f>
        <v>#REF!</v>
      </c>
      <c r="FB26" t="e">
        <f>AND(#REF!,"AAAAAH+9150=")</f>
        <v>#REF!</v>
      </c>
      <c r="FC26" t="e">
        <f>IF(#REF!,"AAAAAH+9154=",0)</f>
        <v>#REF!</v>
      </c>
      <c r="FD26" t="e">
        <f>AND(#REF!,"AAAAAH+9158=")</f>
        <v>#REF!</v>
      </c>
      <c r="FE26" t="e">
        <f>AND(#REF!,"AAAAAH+916A=")</f>
        <v>#REF!</v>
      </c>
      <c r="FF26" t="e">
        <f>AND(#REF!,"AAAAAH+916E=")</f>
        <v>#REF!</v>
      </c>
      <c r="FG26" t="e">
        <f>AND(#REF!,"AAAAAH+916I=")</f>
        <v>#REF!</v>
      </c>
      <c r="FH26" t="e">
        <f>AND(#REF!,"AAAAAH+916M=")</f>
        <v>#REF!</v>
      </c>
      <c r="FI26" t="e">
        <f>AND(#REF!,"AAAAAH+916Q=")</f>
        <v>#REF!</v>
      </c>
      <c r="FJ26" t="e">
        <f>AND(#REF!,"AAAAAH+916U=")</f>
        <v>#REF!</v>
      </c>
      <c r="FK26" t="e">
        <f>AND(#REF!,"AAAAAH+916Y=")</f>
        <v>#REF!</v>
      </c>
      <c r="FL26" t="e">
        <f>AND(#REF!,"AAAAAH+916c=")</f>
        <v>#REF!</v>
      </c>
      <c r="FM26" t="e">
        <f>IF(#REF!,"AAAAAH+916g=",0)</f>
        <v>#REF!</v>
      </c>
      <c r="FN26" t="e">
        <f>AND(#REF!,"AAAAAH+916k=")</f>
        <v>#REF!</v>
      </c>
      <c r="FO26" t="e">
        <f>AND(#REF!,"AAAAAH+916o=")</f>
        <v>#REF!</v>
      </c>
      <c r="FP26" t="e">
        <f>AND(#REF!,"AAAAAH+916s=")</f>
        <v>#REF!</v>
      </c>
      <c r="FQ26" t="e">
        <f>AND(#REF!,"AAAAAH+916w=")</f>
        <v>#REF!</v>
      </c>
      <c r="FR26" t="e">
        <f>AND(#REF!,"AAAAAH+9160=")</f>
        <v>#REF!</v>
      </c>
      <c r="FS26" t="e">
        <f>AND(#REF!,"AAAAAH+9164=")</f>
        <v>#REF!</v>
      </c>
      <c r="FT26" t="e">
        <f>AND(#REF!,"AAAAAH+9168=")</f>
        <v>#REF!</v>
      </c>
      <c r="FU26" t="e">
        <f>AND(#REF!,"AAAAAH+917A=")</f>
        <v>#REF!</v>
      </c>
      <c r="FV26" t="e">
        <f>AND(#REF!,"AAAAAH+917E=")</f>
        <v>#REF!</v>
      </c>
      <c r="FW26" t="e">
        <f>IF(#REF!,"AAAAAH+917I=",0)</f>
        <v>#REF!</v>
      </c>
      <c r="FX26" t="e">
        <f>AND(#REF!,"AAAAAH+917M=")</f>
        <v>#REF!</v>
      </c>
      <c r="FY26" t="e">
        <f>AND(#REF!,"AAAAAH+917Q=")</f>
        <v>#REF!</v>
      </c>
      <c r="FZ26" t="e">
        <f>AND(#REF!,"AAAAAH+917U=")</f>
        <v>#REF!</v>
      </c>
      <c r="GA26" t="e">
        <f>AND(#REF!,"AAAAAH+917Y=")</f>
        <v>#REF!</v>
      </c>
      <c r="GB26" t="e">
        <f>AND(#REF!,"AAAAAH+917c=")</f>
        <v>#REF!</v>
      </c>
      <c r="GC26" t="e">
        <f>AND(#REF!,"AAAAAH+917g=")</f>
        <v>#REF!</v>
      </c>
      <c r="GD26" t="e">
        <f>AND(#REF!,"AAAAAH+917k=")</f>
        <v>#REF!</v>
      </c>
      <c r="GE26" t="e">
        <f>AND(#REF!,"AAAAAH+917o=")</f>
        <v>#REF!</v>
      </c>
      <c r="GF26" t="e">
        <f>AND(#REF!,"AAAAAH+917s=")</f>
        <v>#REF!</v>
      </c>
      <c r="GG26" t="e">
        <f>IF(#REF!,"AAAAAH+917w=",0)</f>
        <v>#REF!</v>
      </c>
      <c r="GH26" t="e">
        <f>AND(#REF!,"AAAAAH+9170=")</f>
        <v>#REF!</v>
      </c>
      <c r="GI26" t="e">
        <f>AND(#REF!,"AAAAAH+9174=")</f>
        <v>#REF!</v>
      </c>
      <c r="GJ26" t="e">
        <f>AND(#REF!,"AAAAAH+9178=")</f>
        <v>#REF!</v>
      </c>
      <c r="GK26" t="e">
        <f>AND(#REF!,"AAAAAH+918A=")</f>
        <v>#REF!</v>
      </c>
      <c r="GL26" t="e">
        <f>AND(#REF!,"AAAAAH+918E=")</f>
        <v>#REF!</v>
      </c>
      <c r="GM26" t="e">
        <f>AND(#REF!,"AAAAAH+918I=")</f>
        <v>#REF!</v>
      </c>
      <c r="GN26" t="e">
        <f>AND(#REF!,"AAAAAH+918M=")</f>
        <v>#REF!</v>
      </c>
      <c r="GO26" t="e">
        <f>AND(#REF!,"AAAAAH+918Q=")</f>
        <v>#REF!</v>
      </c>
      <c r="GP26" t="e">
        <f>AND(#REF!,"AAAAAH+918U=")</f>
        <v>#REF!</v>
      </c>
      <c r="GQ26" t="e">
        <f>IF(#REF!,"AAAAAH+918Y=",0)</f>
        <v>#REF!</v>
      </c>
      <c r="GR26" t="e">
        <f>AND(#REF!,"AAAAAH+918c=")</f>
        <v>#REF!</v>
      </c>
      <c r="GS26" t="e">
        <f>AND(#REF!,"AAAAAH+918g=")</f>
        <v>#REF!</v>
      </c>
      <c r="GT26" t="e">
        <f>AND(#REF!,"AAAAAH+918k=")</f>
        <v>#REF!</v>
      </c>
      <c r="GU26" t="e">
        <f>AND(#REF!,"AAAAAH+918o=")</f>
        <v>#REF!</v>
      </c>
      <c r="GV26" t="e">
        <f>AND(#REF!,"AAAAAH+918s=")</f>
        <v>#REF!</v>
      </c>
      <c r="GW26" t="e">
        <f>AND(#REF!,"AAAAAH+918w=")</f>
        <v>#REF!</v>
      </c>
      <c r="GX26" t="e">
        <f>AND(#REF!,"AAAAAH+9180=")</f>
        <v>#REF!</v>
      </c>
      <c r="GY26" t="e">
        <f>AND(#REF!,"AAAAAH+9184=")</f>
        <v>#REF!</v>
      </c>
      <c r="GZ26" t="e">
        <f>AND(#REF!,"AAAAAH+9188=")</f>
        <v>#REF!</v>
      </c>
      <c r="HA26" t="e">
        <f>IF(#REF!,"AAAAAH+919A=",0)</f>
        <v>#REF!</v>
      </c>
      <c r="HB26" t="e">
        <f>AND(#REF!,"AAAAAH+919E=")</f>
        <v>#REF!</v>
      </c>
      <c r="HC26" t="e">
        <f>AND(#REF!,"AAAAAH+919I=")</f>
        <v>#REF!</v>
      </c>
      <c r="HD26" t="e">
        <f>AND(#REF!,"AAAAAH+919M=")</f>
        <v>#REF!</v>
      </c>
      <c r="HE26" t="e">
        <f>AND(#REF!,"AAAAAH+919Q=")</f>
        <v>#REF!</v>
      </c>
      <c r="HF26" t="e">
        <f>AND(#REF!,"AAAAAH+919U=")</f>
        <v>#REF!</v>
      </c>
      <c r="HG26" t="e">
        <f>AND(#REF!,"AAAAAH+919Y=")</f>
        <v>#REF!</v>
      </c>
      <c r="HH26" t="e">
        <f>AND(#REF!,"AAAAAH+919c=")</f>
        <v>#REF!</v>
      </c>
      <c r="HI26" t="e">
        <f>AND(#REF!,"AAAAAH+919g=")</f>
        <v>#REF!</v>
      </c>
      <c r="HJ26" t="e">
        <f>AND(#REF!,"AAAAAH+919k=")</f>
        <v>#REF!</v>
      </c>
      <c r="HK26" t="e">
        <f>IF(#REF!,"AAAAAH+919o=",0)</f>
        <v>#REF!</v>
      </c>
      <c r="HL26" t="e">
        <f>AND(#REF!,"AAAAAH+919s=")</f>
        <v>#REF!</v>
      </c>
      <c r="HM26" t="e">
        <f>AND(#REF!,"AAAAAH+919w=")</f>
        <v>#REF!</v>
      </c>
      <c r="HN26" t="e">
        <f>AND(#REF!,"AAAAAH+9190=")</f>
        <v>#REF!</v>
      </c>
      <c r="HO26" t="e">
        <f>AND(#REF!,"AAAAAH+9194=")</f>
        <v>#REF!</v>
      </c>
      <c r="HP26" t="e">
        <f>AND(#REF!,"AAAAAH+9198=")</f>
        <v>#REF!</v>
      </c>
      <c r="HQ26" t="e">
        <f>AND(#REF!,"AAAAAH+91+A=")</f>
        <v>#REF!</v>
      </c>
      <c r="HR26" t="e">
        <f>AND(#REF!,"AAAAAH+91+E=")</f>
        <v>#REF!</v>
      </c>
      <c r="HS26" t="e">
        <f>AND(#REF!,"AAAAAH+91+I=")</f>
        <v>#REF!</v>
      </c>
      <c r="HT26" t="e">
        <f>AND(#REF!,"AAAAAH+91+M=")</f>
        <v>#REF!</v>
      </c>
      <c r="HU26" t="e">
        <f>IF(#REF!,"AAAAAH+91+Q=",0)</f>
        <v>#REF!</v>
      </c>
      <c r="HV26" t="e">
        <f>AND(#REF!,"AAAAAH+91+U=")</f>
        <v>#REF!</v>
      </c>
      <c r="HW26" t="e">
        <f>AND(#REF!,"AAAAAH+91+Y=")</f>
        <v>#REF!</v>
      </c>
      <c r="HX26" t="e">
        <f>AND(#REF!,"AAAAAH+91+c=")</f>
        <v>#REF!</v>
      </c>
      <c r="HY26" t="e">
        <f>AND(#REF!,"AAAAAH+91+g=")</f>
        <v>#REF!</v>
      </c>
      <c r="HZ26" t="e">
        <f>AND(#REF!,"AAAAAH+91+k=")</f>
        <v>#REF!</v>
      </c>
      <c r="IA26" t="e">
        <f>AND(#REF!,"AAAAAH+91+o=")</f>
        <v>#REF!</v>
      </c>
      <c r="IB26" t="e">
        <f>AND(#REF!,"AAAAAH+91+s=")</f>
        <v>#REF!</v>
      </c>
      <c r="IC26" t="e">
        <f>AND(#REF!,"AAAAAH+91+w=")</f>
        <v>#REF!</v>
      </c>
      <c r="ID26" t="e">
        <f>AND(#REF!,"AAAAAH+91+0=")</f>
        <v>#REF!</v>
      </c>
      <c r="IE26" t="e">
        <f>IF(#REF!,"AAAAAH+91+4=",0)</f>
        <v>#REF!</v>
      </c>
      <c r="IF26" t="e">
        <f>AND(#REF!,"AAAAAH+91+8=")</f>
        <v>#REF!</v>
      </c>
      <c r="IG26" t="e">
        <f>AND(#REF!,"AAAAAH+91/A=")</f>
        <v>#REF!</v>
      </c>
      <c r="IH26" t="e">
        <f>AND(#REF!,"AAAAAH+91/E=")</f>
        <v>#REF!</v>
      </c>
      <c r="II26" t="e">
        <f>AND(#REF!,"AAAAAH+91/I=")</f>
        <v>#REF!</v>
      </c>
      <c r="IJ26" t="e">
        <f>AND(#REF!,"AAAAAH+91/M=")</f>
        <v>#REF!</v>
      </c>
      <c r="IK26" t="e">
        <f>AND(#REF!,"AAAAAH+91/Q=")</f>
        <v>#REF!</v>
      </c>
      <c r="IL26" t="e">
        <f>AND(#REF!,"AAAAAH+91/U=")</f>
        <v>#REF!</v>
      </c>
      <c r="IM26" t="e">
        <f>AND(#REF!,"AAAAAH+91/Y=")</f>
        <v>#REF!</v>
      </c>
      <c r="IN26" t="e">
        <f>AND(#REF!,"AAAAAH+91/c=")</f>
        <v>#REF!</v>
      </c>
      <c r="IO26" t="e">
        <f>IF(#REF!,"AAAAAH+91/g=",0)</f>
        <v>#REF!</v>
      </c>
      <c r="IP26" t="e">
        <f>AND(#REF!,"AAAAAH+91/k=")</f>
        <v>#REF!</v>
      </c>
      <c r="IQ26" t="e">
        <f>AND(#REF!,"AAAAAH+91/o=")</f>
        <v>#REF!</v>
      </c>
      <c r="IR26" t="e">
        <f>AND(#REF!,"AAAAAH+91/s=")</f>
        <v>#REF!</v>
      </c>
      <c r="IS26" t="e">
        <f>AND(#REF!,"AAAAAH+91/w=")</f>
        <v>#REF!</v>
      </c>
      <c r="IT26" t="e">
        <f>AND(#REF!,"AAAAAH+91/0=")</f>
        <v>#REF!</v>
      </c>
      <c r="IU26" t="e">
        <f>AND(#REF!,"AAAAAH+91/4=")</f>
        <v>#REF!</v>
      </c>
      <c r="IV26" t="e">
        <f>AND(#REF!,"AAAAAH+91/8=")</f>
        <v>#REF!</v>
      </c>
    </row>
    <row r="27" spans="1:256" ht="15">
      <c r="A27" t="e">
        <f>AND(#REF!,"AAAAADfu/QA=")</f>
        <v>#REF!</v>
      </c>
      <c r="B27" t="e">
        <f>AND(#REF!,"AAAAADfu/QE=")</f>
        <v>#REF!</v>
      </c>
      <c r="C27" t="e">
        <f>IF(#REF!,"AAAAADfu/QI=",0)</f>
        <v>#REF!</v>
      </c>
      <c r="D27" t="e">
        <f>AND(#REF!,"AAAAADfu/QM=")</f>
        <v>#REF!</v>
      </c>
      <c r="E27" t="e">
        <f>AND(#REF!,"AAAAADfu/QQ=")</f>
        <v>#REF!</v>
      </c>
      <c r="F27" t="e">
        <f>AND(#REF!,"AAAAADfu/QU=")</f>
        <v>#REF!</v>
      </c>
      <c r="G27" t="e">
        <f>AND(#REF!,"AAAAADfu/QY=")</f>
        <v>#REF!</v>
      </c>
      <c r="H27" t="e">
        <f>AND(#REF!,"AAAAADfu/Qc=")</f>
        <v>#REF!</v>
      </c>
      <c r="I27" t="e">
        <f>AND(#REF!,"AAAAADfu/Qg=")</f>
        <v>#REF!</v>
      </c>
      <c r="J27" t="e">
        <f>AND(#REF!,"AAAAADfu/Qk=")</f>
        <v>#REF!</v>
      </c>
      <c r="K27" t="e">
        <f>AND(#REF!,"AAAAADfu/Qo=")</f>
        <v>#REF!</v>
      </c>
      <c r="L27" t="e">
        <f>AND(#REF!,"AAAAADfu/Qs=")</f>
        <v>#REF!</v>
      </c>
      <c r="M27" t="e">
        <f>IF(#REF!,"AAAAADfu/Qw=",0)</f>
        <v>#REF!</v>
      </c>
      <c r="N27" t="e">
        <f>AND(#REF!,"AAAAADfu/Q0=")</f>
        <v>#REF!</v>
      </c>
      <c r="O27" t="e">
        <f>AND(#REF!,"AAAAADfu/Q4=")</f>
        <v>#REF!</v>
      </c>
      <c r="P27" t="e">
        <f>AND(#REF!,"AAAAADfu/Q8=")</f>
        <v>#REF!</v>
      </c>
      <c r="Q27" t="e">
        <f>AND(#REF!,"AAAAADfu/RA=")</f>
        <v>#REF!</v>
      </c>
      <c r="R27" t="e">
        <f>AND(#REF!,"AAAAADfu/RE=")</f>
        <v>#REF!</v>
      </c>
      <c r="S27" t="e">
        <f>AND(#REF!,"AAAAADfu/RI=")</f>
        <v>#REF!</v>
      </c>
      <c r="T27" t="e">
        <f>AND(#REF!,"AAAAADfu/RM=")</f>
        <v>#REF!</v>
      </c>
      <c r="U27" t="e">
        <f>AND(#REF!,"AAAAADfu/RQ=")</f>
        <v>#REF!</v>
      </c>
      <c r="V27" t="e">
        <f>AND(#REF!,"AAAAADfu/RU=")</f>
        <v>#REF!</v>
      </c>
      <c r="W27" t="e">
        <f>IF(#REF!,"AAAAADfu/RY=",0)</f>
        <v>#REF!</v>
      </c>
      <c r="X27" t="e">
        <f>AND(#REF!,"AAAAADfu/Rc=")</f>
        <v>#REF!</v>
      </c>
      <c r="Y27" t="e">
        <f>AND(#REF!,"AAAAADfu/Rg=")</f>
        <v>#REF!</v>
      </c>
      <c r="Z27" t="e">
        <f>AND(#REF!,"AAAAADfu/Rk=")</f>
        <v>#REF!</v>
      </c>
      <c r="AA27" t="e">
        <f>AND(#REF!,"AAAAADfu/Ro=")</f>
        <v>#REF!</v>
      </c>
      <c r="AB27" t="e">
        <f>AND(#REF!,"AAAAADfu/Rs=")</f>
        <v>#REF!</v>
      </c>
      <c r="AC27" t="e">
        <f>AND(#REF!,"AAAAADfu/Rw=")</f>
        <v>#REF!</v>
      </c>
      <c r="AD27" t="e">
        <f>AND(#REF!,"AAAAADfu/R0=")</f>
        <v>#REF!</v>
      </c>
      <c r="AE27" t="e">
        <f>AND(#REF!,"AAAAADfu/R4=")</f>
        <v>#REF!</v>
      </c>
      <c r="AF27" t="e">
        <f>AND(#REF!,"AAAAADfu/R8=")</f>
        <v>#REF!</v>
      </c>
      <c r="AG27" t="e">
        <f>IF(#REF!,"AAAAADfu/SA=",0)</f>
        <v>#REF!</v>
      </c>
      <c r="AH27" t="e">
        <f>AND(#REF!,"AAAAADfu/SE=")</f>
        <v>#REF!</v>
      </c>
      <c r="AI27" t="e">
        <f>AND(#REF!,"AAAAADfu/SI=")</f>
        <v>#REF!</v>
      </c>
      <c r="AJ27" t="e">
        <f>AND(#REF!,"AAAAADfu/SM=")</f>
        <v>#REF!</v>
      </c>
      <c r="AK27" t="e">
        <f>AND(#REF!,"AAAAADfu/SQ=")</f>
        <v>#REF!</v>
      </c>
      <c r="AL27" t="e">
        <f>AND(#REF!,"AAAAADfu/SU=")</f>
        <v>#REF!</v>
      </c>
      <c r="AM27" t="e">
        <f>AND(#REF!,"AAAAADfu/SY=")</f>
        <v>#REF!</v>
      </c>
      <c r="AN27" t="e">
        <f>AND(#REF!,"AAAAADfu/Sc=")</f>
        <v>#REF!</v>
      </c>
      <c r="AO27" t="e">
        <f>AND(#REF!,"AAAAADfu/Sg=")</f>
        <v>#REF!</v>
      </c>
      <c r="AP27" t="e">
        <f>AND(#REF!,"AAAAADfu/Sk=")</f>
        <v>#REF!</v>
      </c>
      <c r="AQ27" t="e">
        <f>IF(#REF!,"AAAAADfu/So=",0)</f>
        <v>#REF!</v>
      </c>
      <c r="AR27" t="e">
        <f>AND(#REF!,"AAAAADfu/Ss=")</f>
        <v>#REF!</v>
      </c>
      <c r="AS27" t="e">
        <f>AND(#REF!,"AAAAADfu/Sw=")</f>
        <v>#REF!</v>
      </c>
      <c r="AT27" t="e">
        <f>AND(#REF!,"AAAAADfu/S0=")</f>
        <v>#REF!</v>
      </c>
      <c r="AU27" t="e">
        <f>AND(#REF!,"AAAAADfu/S4=")</f>
        <v>#REF!</v>
      </c>
      <c r="AV27" t="e">
        <f>AND(#REF!,"AAAAADfu/S8=")</f>
        <v>#REF!</v>
      </c>
      <c r="AW27" t="e">
        <f>AND(#REF!,"AAAAADfu/TA=")</f>
        <v>#REF!</v>
      </c>
      <c r="AX27" t="e">
        <f>AND(#REF!,"AAAAADfu/TE=")</f>
        <v>#REF!</v>
      </c>
      <c r="AY27" t="e">
        <f>AND(#REF!,"AAAAADfu/TI=")</f>
        <v>#REF!</v>
      </c>
      <c r="AZ27" t="e">
        <f>AND(#REF!,"AAAAADfu/TM=")</f>
        <v>#REF!</v>
      </c>
      <c r="BA27" t="e">
        <f>IF(#REF!,"AAAAADfu/TQ=",0)</f>
        <v>#REF!</v>
      </c>
      <c r="BB27" t="e">
        <f>AND(#REF!,"AAAAADfu/TU=")</f>
        <v>#REF!</v>
      </c>
      <c r="BC27" t="e">
        <f>AND(#REF!,"AAAAADfu/TY=")</f>
        <v>#REF!</v>
      </c>
      <c r="BD27" t="e">
        <f>AND(#REF!,"AAAAADfu/Tc=")</f>
        <v>#REF!</v>
      </c>
      <c r="BE27" t="e">
        <f>AND(#REF!,"AAAAADfu/Tg=")</f>
        <v>#REF!</v>
      </c>
      <c r="BF27" t="e">
        <f>AND(#REF!,"AAAAADfu/Tk=")</f>
        <v>#REF!</v>
      </c>
      <c r="BG27" t="e">
        <f>AND(#REF!,"AAAAADfu/To=")</f>
        <v>#REF!</v>
      </c>
      <c r="BH27" t="e">
        <f>AND(#REF!,"AAAAADfu/Ts=")</f>
        <v>#REF!</v>
      </c>
      <c r="BI27" t="e">
        <f>AND(#REF!,"AAAAADfu/Tw=")</f>
        <v>#REF!</v>
      </c>
      <c r="BJ27" t="e">
        <f>AND(#REF!,"AAAAADfu/T0=")</f>
        <v>#REF!</v>
      </c>
      <c r="BK27" t="e">
        <f>IF(#REF!,"AAAAADfu/T4=",0)</f>
        <v>#REF!</v>
      </c>
      <c r="BL27" t="e">
        <f>AND(#REF!,"AAAAADfu/T8=")</f>
        <v>#REF!</v>
      </c>
      <c r="BM27" t="e">
        <f>AND(#REF!,"AAAAADfu/UA=")</f>
        <v>#REF!</v>
      </c>
      <c r="BN27" t="e">
        <f>AND(#REF!,"AAAAADfu/UE=")</f>
        <v>#REF!</v>
      </c>
      <c r="BO27" t="e">
        <f>AND(#REF!,"AAAAADfu/UI=")</f>
        <v>#REF!</v>
      </c>
      <c r="BP27" t="e">
        <f>AND(#REF!,"AAAAADfu/UM=")</f>
        <v>#REF!</v>
      </c>
      <c r="BQ27" t="e">
        <f>AND(#REF!,"AAAAADfu/UQ=")</f>
        <v>#REF!</v>
      </c>
      <c r="BR27" t="e">
        <f>AND(#REF!,"AAAAADfu/UU=")</f>
        <v>#REF!</v>
      </c>
      <c r="BS27" t="e">
        <f>AND(#REF!,"AAAAADfu/UY=")</f>
        <v>#REF!</v>
      </c>
      <c r="BT27" t="e">
        <f>AND(#REF!,"AAAAADfu/Uc=")</f>
        <v>#REF!</v>
      </c>
      <c r="BU27" t="e">
        <f>IF(#REF!,"AAAAADfu/Ug=",0)</f>
        <v>#REF!</v>
      </c>
      <c r="BV27" t="e">
        <f>AND(#REF!,"AAAAADfu/Uk=")</f>
        <v>#REF!</v>
      </c>
      <c r="BW27" t="e">
        <f>AND(#REF!,"AAAAADfu/Uo=")</f>
        <v>#REF!</v>
      </c>
      <c r="BX27" t="e">
        <f>AND(#REF!,"AAAAADfu/Us=")</f>
        <v>#REF!</v>
      </c>
      <c r="BY27" t="e">
        <f>AND(#REF!,"AAAAADfu/Uw=")</f>
        <v>#REF!</v>
      </c>
      <c r="BZ27" t="e">
        <f>AND(#REF!,"AAAAADfu/U0=")</f>
        <v>#REF!</v>
      </c>
      <c r="CA27" t="e">
        <f>AND(#REF!,"AAAAADfu/U4=")</f>
        <v>#REF!</v>
      </c>
      <c r="CB27" t="e">
        <f>AND(#REF!,"AAAAADfu/U8=")</f>
        <v>#REF!</v>
      </c>
      <c r="CC27" t="e">
        <f>AND(#REF!,"AAAAADfu/VA=")</f>
        <v>#REF!</v>
      </c>
      <c r="CD27" t="e">
        <f>AND(#REF!,"AAAAADfu/VE=")</f>
        <v>#REF!</v>
      </c>
      <c r="CE27" t="e">
        <f>IF(#REF!,"AAAAADfu/VI=",0)</f>
        <v>#REF!</v>
      </c>
      <c r="CF27" t="e">
        <f>AND(#REF!,"AAAAADfu/VM=")</f>
        <v>#REF!</v>
      </c>
      <c r="CG27" t="e">
        <f>AND(#REF!,"AAAAADfu/VQ=")</f>
        <v>#REF!</v>
      </c>
      <c r="CH27" t="e">
        <f>AND(#REF!,"AAAAADfu/VU=")</f>
        <v>#REF!</v>
      </c>
      <c r="CI27" t="e">
        <f>AND(#REF!,"AAAAADfu/VY=")</f>
        <v>#REF!</v>
      </c>
      <c r="CJ27" t="e">
        <f>AND(#REF!,"AAAAADfu/Vc=")</f>
        <v>#REF!</v>
      </c>
      <c r="CK27" t="e">
        <f>AND(#REF!,"AAAAADfu/Vg=")</f>
        <v>#REF!</v>
      </c>
      <c r="CL27" t="e">
        <f>AND(#REF!,"AAAAADfu/Vk=")</f>
        <v>#REF!</v>
      </c>
      <c r="CM27" t="e">
        <f>AND(#REF!,"AAAAADfu/Vo=")</f>
        <v>#REF!</v>
      </c>
      <c r="CN27" t="e">
        <f>AND(#REF!,"AAAAADfu/Vs=")</f>
        <v>#REF!</v>
      </c>
      <c r="CO27" t="e">
        <f>IF(#REF!,"AAAAADfu/Vw=",0)</f>
        <v>#REF!</v>
      </c>
      <c r="CP27" t="e">
        <f>AND(#REF!,"AAAAADfu/V0=")</f>
        <v>#REF!</v>
      </c>
      <c r="CQ27" t="e">
        <f>AND(#REF!,"AAAAADfu/V4=")</f>
        <v>#REF!</v>
      </c>
      <c r="CR27" t="e">
        <f>AND(#REF!,"AAAAADfu/V8=")</f>
        <v>#REF!</v>
      </c>
      <c r="CS27" t="e">
        <f>AND(#REF!,"AAAAADfu/WA=")</f>
        <v>#REF!</v>
      </c>
      <c r="CT27" t="e">
        <f>AND(#REF!,"AAAAADfu/WE=")</f>
        <v>#REF!</v>
      </c>
      <c r="CU27" t="e">
        <f>AND(#REF!,"AAAAADfu/WI=")</f>
        <v>#REF!</v>
      </c>
      <c r="CV27" t="e">
        <f>AND(#REF!,"AAAAADfu/WM=")</f>
        <v>#REF!</v>
      </c>
      <c r="CW27" t="e">
        <f>AND(#REF!,"AAAAADfu/WQ=")</f>
        <v>#REF!</v>
      </c>
      <c r="CX27" t="e">
        <f>AND(#REF!,"AAAAADfu/WU=")</f>
        <v>#REF!</v>
      </c>
      <c r="CY27" t="e">
        <f>IF(#REF!,"AAAAADfu/WY=",0)</f>
        <v>#REF!</v>
      </c>
      <c r="CZ27" t="e">
        <f>AND(#REF!,"AAAAADfu/Wc=")</f>
        <v>#REF!</v>
      </c>
      <c r="DA27" t="e">
        <f>AND(#REF!,"AAAAADfu/Wg=")</f>
        <v>#REF!</v>
      </c>
      <c r="DB27" t="e">
        <f>AND(#REF!,"AAAAADfu/Wk=")</f>
        <v>#REF!</v>
      </c>
      <c r="DC27" t="e">
        <f>AND(#REF!,"AAAAADfu/Wo=")</f>
        <v>#REF!</v>
      </c>
      <c r="DD27" t="e">
        <f>AND(#REF!,"AAAAADfu/Ws=")</f>
        <v>#REF!</v>
      </c>
      <c r="DE27" t="e">
        <f>AND(#REF!,"AAAAADfu/Ww=")</f>
        <v>#REF!</v>
      </c>
      <c r="DF27" t="e">
        <f>AND(#REF!,"AAAAADfu/W0=")</f>
        <v>#REF!</v>
      </c>
      <c r="DG27" t="e">
        <f>AND(#REF!,"AAAAADfu/W4=")</f>
        <v>#REF!</v>
      </c>
      <c r="DH27" t="e">
        <f>AND(#REF!,"AAAAADfu/W8=")</f>
        <v>#REF!</v>
      </c>
      <c r="DI27" t="e">
        <f>IF(#REF!,"AAAAADfu/XA=",0)</f>
        <v>#REF!</v>
      </c>
      <c r="DJ27" t="e">
        <f>AND(#REF!,"AAAAADfu/XE=")</f>
        <v>#REF!</v>
      </c>
      <c r="DK27" t="e">
        <f>AND(#REF!,"AAAAADfu/XI=")</f>
        <v>#REF!</v>
      </c>
      <c r="DL27" t="e">
        <f>AND(#REF!,"AAAAADfu/XM=")</f>
        <v>#REF!</v>
      </c>
      <c r="DM27" t="e">
        <f>AND(#REF!,"AAAAADfu/XQ=")</f>
        <v>#REF!</v>
      </c>
      <c r="DN27" t="e">
        <f>AND(#REF!,"AAAAADfu/XU=")</f>
        <v>#REF!</v>
      </c>
      <c r="DO27" t="e">
        <f>AND(#REF!,"AAAAADfu/XY=")</f>
        <v>#REF!</v>
      </c>
      <c r="DP27" t="e">
        <f>AND(#REF!,"AAAAADfu/Xc=")</f>
        <v>#REF!</v>
      </c>
      <c r="DQ27" t="e">
        <f>AND(#REF!,"AAAAADfu/Xg=")</f>
        <v>#REF!</v>
      </c>
      <c r="DR27" t="e">
        <f>AND(#REF!,"AAAAADfu/Xk=")</f>
        <v>#REF!</v>
      </c>
      <c r="DS27" t="e">
        <f>IF(#REF!,"AAAAADfu/Xo=",0)</f>
        <v>#REF!</v>
      </c>
      <c r="DT27" t="e">
        <f>AND(#REF!,"AAAAADfu/Xs=")</f>
        <v>#REF!</v>
      </c>
      <c r="DU27" t="e">
        <f>AND(#REF!,"AAAAADfu/Xw=")</f>
        <v>#REF!</v>
      </c>
      <c r="DV27" t="e">
        <f>AND(#REF!,"AAAAADfu/X0=")</f>
        <v>#REF!</v>
      </c>
      <c r="DW27" t="e">
        <f>AND(#REF!,"AAAAADfu/X4=")</f>
        <v>#REF!</v>
      </c>
      <c r="DX27" t="e">
        <f>AND(#REF!,"AAAAADfu/X8=")</f>
        <v>#REF!</v>
      </c>
      <c r="DY27" t="e">
        <f>AND(#REF!,"AAAAADfu/YA=")</f>
        <v>#REF!</v>
      </c>
      <c r="DZ27" t="e">
        <f>AND(#REF!,"AAAAADfu/YE=")</f>
        <v>#REF!</v>
      </c>
      <c r="EA27" t="e">
        <f>AND(#REF!,"AAAAADfu/YI=")</f>
        <v>#REF!</v>
      </c>
      <c r="EB27" t="e">
        <f>AND(#REF!,"AAAAADfu/YM=")</f>
        <v>#REF!</v>
      </c>
      <c r="EC27" t="e">
        <f>IF(#REF!,"AAAAADfu/YQ=",0)</f>
        <v>#REF!</v>
      </c>
      <c r="ED27" t="e">
        <f>AND(#REF!,"AAAAADfu/YU=")</f>
        <v>#REF!</v>
      </c>
      <c r="EE27" t="e">
        <f>AND(#REF!,"AAAAADfu/YY=")</f>
        <v>#REF!</v>
      </c>
      <c r="EF27" t="e">
        <f>AND(#REF!,"AAAAADfu/Yc=")</f>
        <v>#REF!</v>
      </c>
      <c r="EG27" t="e">
        <f>AND(#REF!,"AAAAADfu/Yg=")</f>
        <v>#REF!</v>
      </c>
      <c r="EH27" t="e">
        <f>AND(#REF!,"AAAAADfu/Yk=")</f>
        <v>#REF!</v>
      </c>
      <c r="EI27" t="e">
        <f>AND(#REF!,"AAAAADfu/Yo=")</f>
        <v>#REF!</v>
      </c>
      <c r="EJ27" t="e">
        <f>AND(#REF!,"AAAAADfu/Ys=")</f>
        <v>#REF!</v>
      </c>
      <c r="EK27" t="e">
        <f>AND(#REF!,"AAAAADfu/Yw=")</f>
        <v>#REF!</v>
      </c>
      <c r="EL27" t="e">
        <f>AND(#REF!,"AAAAADfu/Y0=")</f>
        <v>#REF!</v>
      </c>
      <c r="EM27" t="e">
        <f>IF(#REF!,"AAAAADfu/Y4=",0)</f>
        <v>#REF!</v>
      </c>
      <c r="EN27" t="e">
        <f>AND(#REF!,"AAAAADfu/Y8=")</f>
        <v>#REF!</v>
      </c>
      <c r="EO27" t="e">
        <f>AND(#REF!,"AAAAADfu/ZA=")</f>
        <v>#REF!</v>
      </c>
      <c r="EP27" t="e">
        <f>AND(#REF!,"AAAAADfu/ZE=")</f>
        <v>#REF!</v>
      </c>
      <c r="EQ27" t="e">
        <f>AND(#REF!,"AAAAADfu/ZI=")</f>
        <v>#REF!</v>
      </c>
      <c r="ER27" t="e">
        <f>AND(#REF!,"AAAAADfu/ZM=")</f>
        <v>#REF!</v>
      </c>
      <c r="ES27" t="e">
        <f>AND(#REF!,"AAAAADfu/ZQ=")</f>
        <v>#REF!</v>
      </c>
      <c r="ET27" t="e">
        <f>AND(#REF!,"AAAAADfu/ZU=")</f>
        <v>#REF!</v>
      </c>
      <c r="EU27" t="e">
        <f>AND(#REF!,"AAAAADfu/ZY=")</f>
        <v>#REF!</v>
      </c>
      <c r="EV27" t="e">
        <f>AND(#REF!,"AAAAADfu/Zc=")</f>
        <v>#REF!</v>
      </c>
      <c r="EW27" t="e">
        <f>IF(#REF!,"AAAAADfu/Zg=",0)</f>
        <v>#REF!</v>
      </c>
      <c r="EX27" t="e">
        <f>IF(#REF!,"AAAAADfu/Zk=",0)</f>
        <v>#REF!</v>
      </c>
      <c r="EY27" t="e">
        <f>IF(#REF!,"AAAAADfu/Zo=",0)</f>
        <v>#REF!</v>
      </c>
      <c r="EZ27" t="e">
        <f>IF(#REF!,"AAAAADfu/Zs=",0)</f>
        <v>#REF!</v>
      </c>
      <c r="FA27" t="e">
        <f>IF(#REF!,"AAAAADfu/Zw=",0)</f>
        <v>#REF!</v>
      </c>
      <c r="FB27" t="e">
        <f>IF(#REF!,"AAAAADfu/Z0=",0)</f>
        <v>#REF!</v>
      </c>
      <c r="FC27" t="e">
        <f>IF(#REF!,"AAAAADfu/Z4=",0)</f>
        <v>#REF!</v>
      </c>
      <c r="FD27" t="e">
        <f>IF(#REF!,"AAAAADfu/Z8=",0)</f>
        <v>#REF!</v>
      </c>
      <c r="FE27" t="e">
        <f>IF(#REF!,"AAAAADfu/aA=",0)</f>
        <v>#REF!</v>
      </c>
      <c r="FF27" t="e">
        <f>IF(#REF!,"AAAAADfu/aE=",0)</f>
        <v>#REF!</v>
      </c>
      <c r="FG27" t="e">
        <f>IF(#REF!,"AAAAADfu/aI=",0)</f>
        <v>#REF!</v>
      </c>
      <c r="FH27" t="e">
        <f>IF(#REF!,"AAAAADfu/aM=",0)</f>
        <v>#REF!</v>
      </c>
      <c r="FI27" t="e">
        <f>IF(#REF!,"AAAAADfu/aQ=",0)</f>
        <v>#REF!</v>
      </c>
      <c r="FJ27" t="e">
        <f>AND(#REF!,"AAAAADfu/aU=")</f>
        <v>#REF!</v>
      </c>
      <c r="FK27" t="e">
        <f>AND(#REF!,"AAAAADfu/aY=")</f>
        <v>#REF!</v>
      </c>
      <c r="FL27" t="e">
        <f>AND(#REF!,"AAAAADfu/ac=")</f>
        <v>#REF!</v>
      </c>
      <c r="FM27" t="e">
        <f>AND(#REF!,"AAAAADfu/ag=")</f>
        <v>#REF!</v>
      </c>
      <c r="FN27" t="e">
        <f>AND(#REF!,"AAAAADfu/ak=")</f>
        <v>#REF!</v>
      </c>
      <c r="FO27" t="e">
        <f>AND(#REF!,"AAAAADfu/ao=")</f>
        <v>#REF!</v>
      </c>
      <c r="FP27" t="e">
        <f>AND(#REF!,"AAAAADfu/as=")</f>
        <v>#REF!</v>
      </c>
      <c r="FQ27" t="e">
        <f>AND(#REF!,"AAAAADfu/aw=")</f>
        <v>#REF!</v>
      </c>
      <c r="FR27" t="e">
        <f>AND(#REF!,"AAAAADfu/a0=")</f>
        <v>#REF!</v>
      </c>
      <c r="FS27" t="e">
        <f>AND(#REF!,"AAAAADfu/a4=")</f>
        <v>#REF!</v>
      </c>
      <c r="FT27" t="e">
        <f>AND(#REF!,"AAAAADfu/a8=")</f>
        <v>#REF!</v>
      </c>
      <c r="FU27" t="e">
        <f>IF(#REF!,"AAAAADfu/bA=",0)</f>
        <v>#REF!</v>
      </c>
      <c r="FV27" t="e">
        <f>AND(#REF!,"AAAAADfu/bE=")</f>
        <v>#REF!</v>
      </c>
      <c r="FW27" t="e">
        <f>AND(#REF!,"AAAAADfu/bI=")</f>
        <v>#REF!</v>
      </c>
      <c r="FX27" t="e">
        <f>AND(#REF!,"AAAAADfu/bM=")</f>
        <v>#REF!</v>
      </c>
      <c r="FY27" t="e">
        <f>AND(#REF!,"AAAAADfu/bQ=")</f>
        <v>#REF!</v>
      </c>
      <c r="FZ27" t="e">
        <f>AND(#REF!,"AAAAADfu/bU=")</f>
        <v>#REF!</v>
      </c>
      <c r="GA27" t="e">
        <f>AND(#REF!,"AAAAADfu/bY=")</f>
        <v>#REF!</v>
      </c>
      <c r="GB27" t="e">
        <f>AND(#REF!,"AAAAADfu/bc=")</f>
        <v>#REF!</v>
      </c>
      <c r="GC27" t="e">
        <f>AND(#REF!,"AAAAADfu/bg=")</f>
        <v>#REF!</v>
      </c>
      <c r="GD27" t="e">
        <f>AND(#REF!,"AAAAADfu/bk=")</f>
        <v>#REF!</v>
      </c>
      <c r="GE27" t="e">
        <f>AND(#REF!,"AAAAADfu/bo=")</f>
        <v>#REF!</v>
      </c>
      <c r="GF27" t="e">
        <f>AND(#REF!,"AAAAADfu/bs=")</f>
        <v>#REF!</v>
      </c>
      <c r="GG27" t="e">
        <f>IF(#REF!,"AAAAADfu/bw=",0)</f>
        <v>#REF!</v>
      </c>
      <c r="GH27" t="e">
        <f>AND(#REF!,"AAAAADfu/b0=")</f>
        <v>#REF!</v>
      </c>
      <c r="GI27" t="e">
        <f>AND(#REF!,"AAAAADfu/b4=")</f>
        <v>#REF!</v>
      </c>
      <c r="GJ27" t="e">
        <f>AND(#REF!,"AAAAADfu/b8=")</f>
        <v>#REF!</v>
      </c>
      <c r="GK27" t="e">
        <f>AND(#REF!,"AAAAADfu/cA=")</f>
        <v>#REF!</v>
      </c>
      <c r="GL27" t="e">
        <f>AND(#REF!,"AAAAADfu/cE=")</f>
        <v>#REF!</v>
      </c>
      <c r="GM27" t="e">
        <f>AND(#REF!,"AAAAADfu/cI=")</f>
        <v>#REF!</v>
      </c>
      <c r="GN27" t="e">
        <f>AND(#REF!,"AAAAADfu/cM=")</f>
        <v>#REF!</v>
      </c>
      <c r="GO27" t="e">
        <f>AND(#REF!,"AAAAADfu/cQ=")</f>
        <v>#REF!</v>
      </c>
      <c r="GP27" t="e">
        <f>AND(#REF!,"AAAAADfu/cU=")</f>
        <v>#REF!</v>
      </c>
      <c r="GQ27" t="e">
        <f>AND(#REF!,"AAAAADfu/cY=")</f>
        <v>#REF!</v>
      </c>
      <c r="GR27" t="e">
        <f>AND(#REF!,"AAAAADfu/cc=")</f>
        <v>#REF!</v>
      </c>
      <c r="GS27" t="e">
        <f>IF(#REF!,"AAAAADfu/cg=",0)</f>
        <v>#REF!</v>
      </c>
      <c r="GT27" t="e">
        <f>AND(#REF!,"AAAAADfu/ck=")</f>
        <v>#REF!</v>
      </c>
      <c r="GU27" t="e">
        <f>AND(#REF!,"AAAAADfu/co=")</f>
        <v>#REF!</v>
      </c>
      <c r="GV27" t="e">
        <f>AND(#REF!,"AAAAADfu/cs=")</f>
        <v>#REF!</v>
      </c>
      <c r="GW27" t="e">
        <f>AND(#REF!,"AAAAADfu/cw=")</f>
        <v>#REF!</v>
      </c>
      <c r="GX27" t="e">
        <f>AND(#REF!,"AAAAADfu/c0=")</f>
        <v>#REF!</v>
      </c>
      <c r="GY27" t="e">
        <f>AND(#REF!,"AAAAADfu/c4=")</f>
        <v>#REF!</v>
      </c>
      <c r="GZ27" t="e">
        <f>AND(#REF!,"AAAAADfu/c8=")</f>
        <v>#REF!</v>
      </c>
      <c r="HA27" t="e">
        <f>AND(#REF!,"AAAAADfu/dA=")</f>
        <v>#REF!</v>
      </c>
      <c r="HB27" t="e">
        <f>AND(#REF!,"AAAAADfu/dE=")</f>
        <v>#REF!</v>
      </c>
      <c r="HC27" t="e">
        <f>AND(#REF!,"AAAAADfu/dI=")</f>
        <v>#REF!</v>
      </c>
      <c r="HD27" t="e">
        <f>AND(#REF!,"AAAAADfu/dM=")</f>
        <v>#REF!</v>
      </c>
      <c r="HE27" t="e">
        <f>IF(#REF!,"AAAAADfu/dQ=",0)</f>
        <v>#REF!</v>
      </c>
      <c r="HF27" t="e">
        <f>AND(#REF!,"AAAAADfu/dU=")</f>
        <v>#REF!</v>
      </c>
      <c r="HG27" t="e">
        <f>AND(#REF!,"AAAAADfu/dY=")</f>
        <v>#REF!</v>
      </c>
      <c r="HH27" t="e">
        <f>AND(#REF!,"AAAAADfu/dc=")</f>
        <v>#REF!</v>
      </c>
      <c r="HI27" t="e">
        <f>AND(#REF!,"AAAAADfu/dg=")</f>
        <v>#REF!</v>
      </c>
      <c r="HJ27" t="e">
        <f>AND(#REF!,"AAAAADfu/dk=")</f>
        <v>#REF!</v>
      </c>
      <c r="HK27" t="e">
        <f>AND(#REF!,"AAAAADfu/do=")</f>
        <v>#REF!</v>
      </c>
      <c r="HL27" t="e">
        <f>AND(#REF!,"AAAAADfu/ds=")</f>
        <v>#REF!</v>
      </c>
      <c r="HM27" t="e">
        <f>AND(#REF!,"AAAAADfu/dw=")</f>
        <v>#REF!</v>
      </c>
      <c r="HN27" t="e">
        <f>AND(#REF!,"AAAAADfu/d0=")</f>
        <v>#REF!</v>
      </c>
      <c r="HO27" t="e">
        <f>AND(#REF!,"AAAAADfu/d4=")</f>
        <v>#REF!</v>
      </c>
      <c r="HP27" t="e">
        <f>AND(#REF!,"AAAAADfu/d8=")</f>
        <v>#REF!</v>
      </c>
      <c r="HQ27" t="e">
        <f>IF(#REF!,"AAAAADfu/eA=",0)</f>
        <v>#REF!</v>
      </c>
      <c r="HR27" t="e">
        <f>AND(#REF!,"AAAAADfu/eE=")</f>
        <v>#REF!</v>
      </c>
      <c r="HS27" t="e">
        <f>AND(#REF!,"AAAAADfu/eI=")</f>
        <v>#REF!</v>
      </c>
      <c r="HT27" t="e">
        <f>AND(#REF!,"AAAAADfu/eM=")</f>
        <v>#REF!</v>
      </c>
      <c r="HU27" t="e">
        <f>AND(#REF!,"AAAAADfu/eQ=")</f>
        <v>#REF!</v>
      </c>
      <c r="HV27" t="e">
        <f>AND(#REF!,"AAAAADfu/eU=")</f>
        <v>#REF!</v>
      </c>
      <c r="HW27" t="e">
        <f>AND(#REF!,"AAAAADfu/eY=")</f>
        <v>#REF!</v>
      </c>
      <c r="HX27" t="e">
        <f>AND(#REF!,"AAAAADfu/ec=")</f>
        <v>#REF!</v>
      </c>
      <c r="HY27" t="e">
        <f>AND(#REF!,"AAAAADfu/eg=")</f>
        <v>#REF!</v>
      </c>
      <c r="HZ27" t="e">
        <f>AND(#REF!,"AAAAADfu/ek=")</f>
        <v>#REF!</v>
      </c>
      <c r="IA27" t="e">
        <f>AND(#REF!,"AAAAADfu/eo=")</f>
        <v>#REF!</v>
      </c>
      <c r="IB27" t="e">
        <f>AND(#REF!,"AAAAADfu/es=")</f>
        <v>#REF!</v>
      </c>
      <c r="IC27" t="e">
        <f>IF(#REF!,"AAAAADfu/ew=",0)</f>
        <v>#REF!</v>
      </c>
      <c r="ID27" t="e">
        <f>AND(#REF!,"AAAAADfu/e0=")</f>
        <v>#REF!</v>
      </c>
      <c r="IE27" t="e">
        <f>AND(#REF!,"AAAAADfu/e4=")</f>
        <v>#REF!</v>
      </c>
      <c r="IF27" t="e">
        <f>AND(#REF!,"AAAAADfu/e8=")</f>
        <v>#REF!</v>
      </c>
      <c r="IG27" t="e">
        <f>AND(#REF!,"AAAAADfu/fA=")</f>
        <v>#REF!</v>
      </c>
      <c r="IH27" t="e">
        <f>AND(#REF!,"AAAAADfu/fE=")</f>
        <v>#REF!</v>
      </c>
      <c r="II27" t="e">
        <f>AND(#REF!,"AAAAADfu/fI=")</f>
        <v>#REF!</v>
      </c>
      <c r="IJ27" t="e">
        <f>AND(#REF!,"AAAAADfu/fM=")</f>
        <v>#REF!</v>
      </c>
      <c r="IK27" t="e">
        <f>AND(#REF!,"AAAAADfu/fQ=")</f>
        <v>#REF!</v>
      </c>
      <c r="IL27" t="e">
        <f>AND(#REF!,"AAAAADfu/fU=")</f>
        <v>#REF!</v>
      </c>
      <c r="IM27" t="e">
        <f>AND(#REF!,"AAAAADfu/fY=")</f>
        <v>#REF!</v>
      </c>
      <c r="IN27" t="e">
        <f>AND(#REF!,"AAAAADfu/fc=")</f>
        <v>#REF!</v>
      </c>
      <c r="IO27" t="e">
        <f>IF(#REF!,"AAAAADfu/fg=",0)</f>
        <v>#REF!</v>
      </c>
      <c r="IP27" t="e">
        <f>AND(#REF!,"AAAAADfu/fk=")</f>
        <v>#REF!</v>
      </c>
      <c r="IQ27" t="e">
        <f>AND(#REF!,"AAAAADfu/fo=")</f>
        <v>#REF!</v>
      </c>
      <c r="IR27" t="e">
        <f>AND(#REF!,"AAAAADfu/fs=")</f>
        <v>#REF!</v>
      </c>
      <c r="IS27" t="e">
        <f>AND(#REF!,"AAAAADfu/fw=")</f>
        <v>#REF!</v>
      </c>
      <c r="IT27" t="e">
        <f>AND(#REF!,"AAAAADfu/f0=")</f>
        <v>#REF!</v>
      </c>
      <c r="IU27" t="e">
        <f>AND(#REF!,"AAAAADfu/f4=")</f>
        <v>#REF!</v>
      </c>
      <c r="IV27" t="e">
        <f>AND(#REF!,"AAAAADfu/f8=")</f>
        <v>#REF!</v>
      </c>
    </row>
    <row r="28" spans="1:256" ht="15">
      <c r="A28" t="e">
        <f>AND(#REF!,"AAAAAEy/pwA=")</f>
        <v>#REF!</v>
      </c>
      <c r="B28" t="e">
        <f>AND(#REF!,"AAAAAEy/pwE=")</f>
        <v>#REF!</v>
      </c>
      <c r="C28" t="e">
        <f>AND(#REF!,"AAAAAEy/pwI=")</f>
        <v>#REF!</v>
      </c>
      <c r="D28" t="e">
        <f>AND(#REF!,"AAAAAEy/pwM=")</f>
        <v>#REF!</v>
      </c>
      <c r="E28" t="e">
        <f>IF(#REF!,"AAAAAEy/pwQ=",0)</f>
        <v>#REF!</v>
      </c>
      <c r="F28" t="e">
        <f>AND(#REF!,"AAAAAEy/pwU=")</f>
        <v>#REF!</v>
      </c>
      <c r="G28" t="e">
        <f>AND(#REF!,"AAAAAEy/pwY=")</f>
        <v>#REF!</v>
      </c>
      <c r="H28" t="e">
        <f>AND(#REF!,"AAAAAEy/pwc=")</f>
        <v>#REF!</v>
      </c>
      <c r="I28" t="e">
        <f>AND(#REF!,"AAAAAEy/pwg=")</f>
        <v>#REF!</v>
      </c>
      <c r="J28" t="e">
        <f>AND(#REF!,"AAAAAEy/pwk=")</f>
        <v>#REF!</v>
      </c>
      <c r="K28" t="e">
        <f>AND(#REF!,"AAAAAEy/pwo=")</f>
        <v>#REF!</v>
      </c>
      <c r="L28" t="e">
        <f>AND(#REF!,"AAAAAEy/pws=")</f>
        <v>#REF!</v>
      </c>
      <c r="M28" t="e">
        <f>AND(#REF!,"AAAAAEy/pww=")</f>
        <v>#REF!</v>
      </c>
      <c r="N28" t="e">
        <f>AND(#REF!,"AAAAAEy/pw0=")</f>
        <v>#REF!</v>
      </c>
      <c r="O28" t="e">
        <f>AND(#REF!,"AAAAAEy/pw4=")</f>
        <v>#REF!</v>
      </c>
      <c r="P28" t="e">
        <f>AND(#REF!,"AAAAAEy/pw8=")</f>
        <v>#REF!</v>
      </c>
      <c r="Q28" t="e">
        <f>IF(#REF!,"AAAAAEy/pxA=",0)</f>
        <v>#REF!</v>
      </c>
      <c r="R28" t="e">
        <f>AND(#REF!,"AAAAAEy/pxE=")</f>
        <v>#REF!</v>
      </c>
      <c r="S28" t="e">
        <f>AND(#REF!,"AAAAAEy/pxI=")</f>
        <v>#REF!</v>
      </c>
      <c r="T28" t="e">
        <f>AND(#REF!,"AAAAAEy/pxM=")</f>
        <v>#REF!</v>
      </c>
      <c r="U28" t="e">
        <f>AND(#REF!,"AAAAAEy/pxQ=")</f>
        <v>#REF!</v>
      </c>
      <c r="V28" t="e">
        <f>AND(#REF!,"AAAAAEy/pxU=")</f>
        <v>#REF!</v>
      </c>
      <c r="W28" t="e">
        <f>AND(#REF!,"AAAAAEy/pxY=")</f>
        <v>#REF!</v>
      </c>
      <c r="X28" t="e">
        <f>AND(#REF!,"AAAAAEy/pxc=")</f>
        <v>#REF!</v>
      </c>
      <c r="Y28" t="e">
        <f>AND(#REF!,"AAAAAEy/pxg=")</f>
        <v>#REF!</v>
      </c>
      <c r="Z28" t="e">
        <f>AND(#REF!,"AAAAAEy/pxk=")</f>
        <v>#REF!</v>
      </c>
      <c r="AA28" t="e">
        <f>AND(#REF!,"AAAAAEy/pxo=")</f>
        <v>#REF!</v>
      </c>
      <c r="AB28" t="e">
        <f>AND(#REF!,"AAAAAEy/pxs=")</f>
        <v>#REF!</v>
      </c>
      <c r="AC28" t="e">
        <f>IF(#REF!,"AAAAAEy/pxw=",0)</f>
        <v>#REF!</v>
      </c>
      <c r="AD28" t="e">
        <f>AND(#REF!,"AAAAAEy/px0=")</f>
        <v>#REF!</v>
      </c>
      <c r="AE28" t="e">
        <f>AND(#REF!,"AAAAAEy/px4=")</f>
        <v>#REF!</v>
      </c>
      <c r="AF28" t="e">
        <f>AND(#REF!,"AAAAAEy/px8=")</f>
        <v>#REF!</v>
      </c>
      <c r="AG28" t="e">
        <f>AND(#REF!,"AAAAAEy/pyA=")</f>
        <v>#REF!</v>
      </c>
      <c r="AH28" t="e">
        <f>AND(#REF!,"AAAAAEy/pyE=")</f>
        <v>#REF!</v>
      </c>
      <c r="AI28" t="e">
        <f>AND(#REF!,"AAAAAEy/pyI=")</f>
        <v>#REF!</v>
      </c>
      <c r="AJ28" t="e">
        <f>AND(#REF!,"AAAAAEy/pyM=")</f>
        <v>#REF!</v>
      </c>
      <c r="AK28" t="e">
        <f>AND(#REF!,"AAAAAEy/pyQ=")</f>
        <v>#REF!</v>
      </c>
      <c r="AL28" t="e">
        <f>AND(#REF!,"AAAAAEy/pyU=")</f>
        <v>#REF!</v>
      </c>
      <c r="AM28" t="e">
        <f>AND(#REF!,"AAAAAEy/pyY=")</f>
        <v>#REF!</v>
      </c>
      <c r="AN28" t="e">
        <f>AND(#REF!,"AAAAAEy/pyc=")</f>
        <v>#REF!</v>
      </c>
      <c r="AO28" t="e">
        <f>IF(#REF!,"AAAAAEy/pyg=",0)</f>
        <v>#REF!</v>
      </c>
      <c r="AP28" t="e">
        <f>AND(#REF!,"AAAAAEy/pyk=")</f>
        <v>#REF!</v>
      </c>
      <c r="AQ28" t="e">
        <f>AND(#REF!,"AAAAAEy/pyo=")</f>
        <v>#REF!</v>
      </c>
      <c r="AR28" t="e">
        <f>AND(#REF!,"AAAAAEy/pys=")</f>
        <v>#REF!</v>
      </c>
      <c r="AS28" t="e">
        <f>AND(#REF!,"AAAAAEy/pyw=")</f>
        <v>#REF!</v>
      </c>
      <c r="AT28" t="e">
        <f>AND(#REF!,"AAAAAEy/py0=")</f>
        <v>#REF!</v>
      </c>
      <c r="AU28" t="e">
        <f>AND(#REF!,"AAAAAEy/py4=")</f>
        <v>#REF!</v>
      </c>
      <c r="AV28" t="e">
        <f>AND(#REF!,"AAAAAEy/py8=")</f>
        <v>#REF!</v>
      </c>
      <c r="AW28" t="e">
        <f>AND(#REF!,"AAAAAEy/pzA=")</f>
        <v>#REF!</v>
      </c>
      <c r="AX28" t="e">
        <f>AND(#REF!,"AAAAAEy/pzE=")</f>
        <v>#REF!</v>
      </c>
      <c r="AY28" t="e">
        <f>AND(#REF!,"AAAAAEy/pzI=")</f>
        <v>#REF!</v>
      </c>
      <c r="AZ28" t="e">
        <f>AND(#REF!,"AAAAAEy/pzM=")</f>
        <v>#REF!</v>
      </c>
      <c r="BA28" t="e">
        <f>IF(#REF!,"AAAAAEy/pzQ=",0)</f>
        <v>#REF!</v>
      </c>
      <c r="BB28" t="e">
        <f>AND(#REF!,"AAAAAEy/pzU=")</f>
        <v>#REF!</v>
      </c>
      <c r="BC28" t="e">
        <f>AND(#REF!,"AAAAAEy/pzY=")</f>
        <v>#REF!</v>
      </c>
      <c r="BD28" t="e">
        <f>AND(#REF!,"AAAAAEy/pzc=")</f>
        <v>#REF!</v>
      </c>
      <c r="BE28" t="e">
        <f>AND(#REF!,"AAAAAEy/pzg=")</f>
        <v>#REF!</v>
      </c>
      <c r="BF28" t="e">
        <f>AND(#REF!,"AAAAAEy/pzk=")</f>
        <v>#REF!</v>
      </c>
      <c r="BG28" t="e">
        <f>AND(#REF!,"AAAAAEy/pzo=")</f>
        <v>#REF!</v>
      </c>
      <c r="BH28" t="e">
        <f>AND(#REF!,"AAAAAEy/pzs=")</f>
        <v>#REF!</v>
      </c>
      <c r="BI28" t="e">
        <f>AND(#REF!,"AAAAAEy/pzw=")</f>
        <v>#REF!</v>
      </c>
      <c r="BJ28" t="e">
        <f>AND(#REF!,"AAAAAEy/pz0=")</f>
        <v>#REF!</v>
      </c>
      <c r="BK28" t="e">
        <f>AND(#REF!,"AAAAAEy/pz4=")</f>
        <v>#REF!</v>
      </c>
      <c r="BL28" t="e">
        <f>AND(#REF!,"AAAAAEy/pz8=")</f>
        <v>#REF!</v>
      </c>
      <c r="BM28" t="e">
        <f>IF(#REF!,"AAAAAEy/p0A=",0)</f>
        <v>#REF!</v>
      </c>
      <c r="BN28" t="e">
        <f>AND(#REF!,"AAAAAEy/p0E=")</f>
        <v>#REF!</v>
      </c>
      <c r="BO28" t="e">
        <f>AND(#REF!,"AAAAAEy/p0I=")</f>
        <v>#REF!</v>
      </c>
      <c r="BP28" t="e">
        <f>AND(#REF!,"AAAAAEy/p0M=")</f>
        <v>#REF!</v>
      </c>
      <c r="BQ28" t="e">
        <f>AND(#REF!,"AAAAAEy/p0Q=")</f>
        <v>#REF!</v>
      </c>
      <c r="BR28" t="e">
        <f>AND(#REF!,"AAAAAEy/p0U=")</f>
        <v>#REF!</v>
      </c>
      <c r="BS28" t="e">
        <f>AND(#REF!,"AAAAAEy/p0Y=")</f>
        <v>#REF!</v>
      </c>
      <c r="BT28" t="e">
        <f>AND(#REF!,"AAAAAEy/p0c=")</f>
        <v>#REF!</v>
      </c>
      <c r="BU28" t="e">
        <f>AND(#REF!,"AAAAAEy/p0g=")</f>
        <v>#REF!</v>
      </c>
      <c r="BV28" t="e">
        <f>AND(#REF!,"AAAAAEy/p0k=")</f>
        <v>#REF!</v>
      </c>
      <c r="BW28" t="e">
        <f>AND(#REF!,"AAAAAEy/p0o=")</f>
        <v>#REF!</v>
      </c>
      <c r="BX28" t="e">
        <f>AND(#REF!,"AAAAAEy/p0s=")</f>
        <v>#REF!</v>
      </c>
      <c r="BY28" t="e">
        <f>IF(#REF!,"AAAAAEy/p0w=",0)</f>
        <v>#REF!</v>
      </c>
      <c r="BZ28" t="e">
        <f>AND(#REF!,"AAAAAEy/p00=")</f>
        <v>#REF!</v>
      </c>
      <c r="CA28" t="e">
        <f>AND(#REF!,"AAAAAEy/p04=")</f>
        <v>#REF!</v>
      </c>
      <c r="CB28" t="e">
        <f>AND(#REF!,"AAAAAEy/p08=")</f>
        <v>#REF!</v>
      </c>
      <c r="CC28" t="e">
        <f>AND(#REF!,"AAAAAEy/p1A=")</f>
        <v>#REF!</v>
      </c>
      <c r="CD28" t="e">
        <f>AND(#REF!,"AAAAAEy/p1E=")</f>
        <v>#REF!</v>
      </c>
      <c r="CE28" t="e">
        <f>AND(#REF!,"AAAAAEy/p1I=")</f>
        <v>#REF!</v>
      </c>
      <c r="CF28" t="e">
        <f>AND(#REF!,"AAAAAEy/p1M=")</f>
        <v>#REF!</v>
      </c>
      <c r="CG28" t="e">
        <f>AND(#REF!,"AAAAAEy/p1Q=")</f>
        <v>#REF!</v>
      </c>
      <c r="CH28" t="e">
        <f>AND(#REF!,"AAAAAEy/p1U=")</f>
        <v>#REF!</v>
      </c>
      <c r="CI28" t="e">
        <f>AND(#REF!,"AAAAAEy/p1Y=")</f>
        <v>#REF!</v>
      </c>
      <c r="CJ28" t="e">
        <f>AND(#REF!,"AAAAAEy/p1c=")</f>
        <v>#REF!</v>
      </c>
      <c r="CK28" t="e">
        <f>IF(#REF!,"AAAAAEy/p1g=",0)</f>
        <v>#REF!</v>
      </c>
      <c r="CL28" t="e">
        <f>AND(#REF!,"AAAAAEy/p1k=")</f>
        <v>#REF!</v>
      </c>
      <c r="CM28" t="e">
        <f>AND(#REF!,"AAAAAEy/p1o=")</f>
        <v>#REF!</v>
      </c>
      <c r="CN28" t="e">
        <f>AND(#REF!,"AAAAAEy/p1s=")</f>
        <v>#REF!</v>
      </c>
      <c r="CO28" t="e">
        <f>AND(#REF!,"AAAAAEy/p1w=")</f>
        <v>#REF!</v>
      </c>
      <c r="CP28" t="e">
        <f>AND(#REF!,"AAAAAEy/p10=")</f>
        <v>#REF!</v>
      </c>
      <c r="CQ28" t="e">
        <f>AND(#REF!,"AAAAAEy/p14=")</f>
        <v>#REF!</v>
      </c>
      <c r="CR28" t="e">
        <f>AND(#REF!,"AAAAAEy/p18=")</f>
        <v>#REF!</v>
      </c>
      <c r="CS28" t="e">
        <f>AND(#REF!,"AAAAAEy/p2A=")</f>
        <v>#REF!</v>
      </c>
      <c r="CT28" t="e">
        <f>AND(#REF!,"AAAAAEy/p2E=")</f>
        <v>#REF!</v>
      </c>
      <c r="CU28" t="e">
        <f>AND(#REF!,"AAAAAEy/p2I=")</f>
        <v>#REF!</v>
      </c>
      <c r="CV28" t="e">
        <f>AND(#REF!,"AAAAAEy/p2M=")</f>
        <v>#REF!</v>
      </c>
      <c r="CW28" t="e">
        <f>IF(#REF!,"AAAAAEy/p2Q=",0)</f>
        <v>#REF!</v>
      </c>
      <c r="CX28" t="e">
        <f>AND(#REF!,"AAAAAEy/p2U=")</f>
        <v>#REF!</v>
      </c>
      <c r="CY28" t="e">
        <f>AND(#REF!,"AAAAAEy/p2Y=")</f>
        <v>#REF!</v>
      </c>
      <c r="CZ28" t="e">
        <f>AND(#REF!,"AAAAAEy/p2c=")</f>
        <v>#REF!</v>
      </c>
      <c r="DA28" t="e">
        <f>AND(#REF!,"AAAAAEy/p2g=")</f>
        <v>#REF!</v>
      </c>
      <c r="DB28" t="e">
        <f>AND(#REF!,"AAAAAEy/p2k=")</f>
        <v>#REF!</v>
      </c>
      <c r="DC28" t="e">
        <f>AND(#REF!,"AAAAAEy/p2o=")</f>
        <v>#REF!</v>
      </c>
      <c r="DD28" t="e">
        <f>AND(#REF!,"AAAAAEy/p2s=")</f>
        <v>#REF!</v>
      </c>
      <c r="DE28" t="e">
        <f>AND(#REF!,"AAAAAEy/p2w=")</f>
        <v>#REF!</v>
      </c>
      <c r="DF28" t="e">
        <f>AND(#REF!,"AAAAAEy/p20=")</f>
        <v>#REF!</v>
      </c>
      <c r="DG28" t="e">
        <f>AND(#REF!,"AAAAAEy/p24=")</f>
        <v>#REF!</v>
      </c>
      <c r="DH28" t="e">
        <f>AND(#REF!,"AAAAAEy/p28=")</f>
        <v>#REF!</v>
      </c>
      <c r="DI28" t="e">
        <f>IF(#REF!,"AAAAAEy/p3A=",0)</f>
        <v>#REF!</v>
      </c>
      <c r="DJ28" t="e">
        <f>AND(#REF!,"AAAAAEy/p3E=")</f>
        <v>#REF!</v>
      </c>
      <c r="DK28" t="e">
        <f>AND(#REF!,"AAAAAEy/p3I=")</f>
        <v>#REF!</v>
      </c>
      <c r="DL28" t="e">
        <f>AND(#REF!,"AAAAAEy/p3M=")</f>
        <v>#REF!</v>
      </c>
      <c r="DM28" t="e">
        <f>AND(#REF!,"AAAAAEy/p3Q=")</f>
        <v>#REF!</v>
      </c>
      <c r="DN28" t="e">
        <f>AND(#REF!,"AAAAAEy/p3U=")</f>
        <v>#REF!</v>
      </c>
      <c r="DO28" t="e">
        <f>AND(#REF!,"AAAAAEy/p3Y=")</f>
        <v>#REF!</v>
      </c>
      <c r="DP28" t="e">
        <f>AND(#REF!,"AAAAAEy/p3c=")</f>
        <v>#REF!</v>
      </c>
      <c r="DQ28" t="e">
        <f>AND(#REF!,"AAAAAEy/p3g=")</f>
        <v>#REF!</v>
      </c>
      <c r="DR28" t="e">
        <f>AND(#REF!,"AAAAAEy/p3k=")</f>
        <v>#REF!</v>
      </c>
      <c r="DS28" t="e">
        <f>AND(#REF!,"AAAAAEy/p3o=")</f>
        <v>#REF!</v>
      </c>
      <c r="DT28" t="e">
        <f>AND(#REF!,"AAAAAEy/p3s=")</f>
        <v>#REF!</v>
      </c>
      <c r="DU28" t="e">
        <f>IF(#REF!,"AAAAAEy/p3w=",0)</f>
        <v>#REF!</v>
      </c>
      <c r="DV28" t="e">
        <f>AND(#REF!,"AAAAAEy/p30=")</f>
        <v>#REF!</v>
      </c>
      <c r="DW28" t="e">
        <f>AND(#REF!,"AAAAAEy/p34=")</f>
        <v>#REF!</v>
      </c>
      <c r="DX28" t="e">
        <f>AND(#REF!,"AAAAAEy/p38=")</f>
        <v>#REF!</v>
      </c>
      <c r="DY28" t="e">
        <f>AND(#REF!,"AAAAAEy/p4A=")</f>
        <v>#REF!</v>
      </c>
      <c r="DZ28" t="e">
        <f>AND(#REF!,"AAAAAEy/p4E=")</f>
        <v>#REF!</v>
      </c>
      <c r="EA28" t="e">
        <f>AND(#REF!,"AAAAAEy/p4I=")</f>
        <v>#REF!</v>
      </c>
      <c r="EB28" t="e">
        <f>AND(#REF!,"AAAAAEy/p4M=")</f>
        <v>#REF!</v>
      </c>
      <c r="EC28" t="e">
        <f>AND(#REF!,"AAAAAEy/p4Q=")</f>
        <v>#REF!</v>
      </c>
      <c r="ED28" t="e">
        <f>AND(#REF!,"AAAAAEy/p4U=")</f>
        <v>#REF!</v>
      </c>
      <c r="EE28" t="e">
        <f>AND(#REF!,"AAAAAEy/p4Y=")</f>
        <v>#REF!</v>
      </c>
      <c r="EF28" t="e">
        <f>AND(#REF!,"AAAAAEy/p4c=")</f>
        <v>#REF!</v>
      </c>
      <c r="EG28" t="e">
        <f>IF(#REF!,"AAAAAEy/p4g=",0)</f>
        <v>#REF!</v>
      </c>
      <c r="EH28" t="e">
        <f>AND(#REF!,"AAAAAEy/p4k=")</f>
        <v>#REF!</v>
      </c>
      <c r="EI28" t="e">
        <f>AND(#REF!,"AAAAAEy/p4o=")</f>
        <v>#REF!</v>
      </c>
      <c r="EJ28" t="e">
        <f>AND(#REF!,"AAAAAEy/p4s=")</f>
        <v>#REF!</v>
      </c>
      <c r="EK28" t="e">
        <f>AND(#REF!,"AAAAAEy/p4w=")</f>
        <v>#REF!</v>
      </c>
      <c r="EL28" t="e">
        <f>AND(#REF!,"AAAAAEy/p40=")</f>
        <v>#REF!</v>
      </c>
      <c r="EM28" t="e">
        <f>AND(#REF!,"AAAAAEy/p44=")</f>
        <v>#REF!</v>
      </c>
      <c r="EN28" t="e">
        <f>AND(#REF!,"AAAAAEy/p48=")</f>
        <v>#REF!</v>
      </c>
      <c r="EO28" t="e">
        <f>AND(#REF!,"AAAAAEy/p5A=")</f>
        <v>#REF!</v>
      </c>
      <c r="EP28" t="e">
        <f>AND(#REF!,"AAAAAEy/p5E=")</f>
        <v>#REF!</v>
      </c>
      <c r="EQ28" t="e">
        <f>AND(#REF!,"AAAAAEy/p5I=")</f>
        <v>#REF!</v>
      </c>
      <c r="ER28" t="e">
        <f>AND(#REF!,"AAAAAEy/p5M=")</f>
        <v>#REF!</v>
      </c>
      <c r="ES28" t="e">
        <f>IF(#REF!,"AAAAAEy/p5Q=",0)</f>
        <v>#REF!</v>
      </c>
      <c r="ET28" t="e">
        <f>AND(#REF!,"AAAAAEy/p5U=")</f>
        <v>#REF!</v>
      </c>
      <c r="EU28" t="e">
        <f>AND(#REF!,"AAAAAEy/p5Y=")</f>
        <v>#REF!</v>
      </c>
      <c r="EV28" t="e">
        <f>AND(#REF!,"AAAAAEy/p5c=")</f>
        <v>#REF!</v>
      </c>
      <c r="EW28" t="e">
        <f>AND(#REF!,"AAAAAEy/p5g=")</f>
        <v>#REF!</v>
      </c>
      <c r="EX28" t="e">
        <f>AND(#REF!,"AAAAAEy/p5k=")</f>
        <v>#REF!</v>
      </c>
      <c r="EY28" t="e">
        <f>AND(#REF!,"AAAAAEy/p5o=")</f>
        <v>#REF!</v>
      </c>
      <c r="EZ28" t="e">
        <f>AND(#REF!,"AAAAAEy/p5s=")</f>
        <v>#REF!</v>
      </c>
      <c r="FA28" t="e">
        <f>AND(#REF!,"AAAAAEy/p5w=")</f>
        <v>#REF!</v>
      </c>
      <c r="FB28" t="e">
        <f>AND(#REF!,"AAAAAEy/p50=")</f>
        <v>#REF!</v>
      </c>
      <c r="FC28" t="e">
        <f>AND(#REF!,"AAAAAEy/p54=")</f>
        <v>#REF!</v>
      </c>
      <c r="FD28" t="e">
        <f>AND(#REF!,"AAAAAEy/p58=")</f>
        <v>#REF!</v>
      </c>
      <c r="FE28" t="e">
        <f>IF(#REF!,"AAAAAEy/p6A=",0)</f>
        <v>#REF!</v>
      </c>
      <c r="FF28" t="e">
        <f>AND(#REF!,"AAAAAEy/p6E=")</f>
        <v>#REF!</v>
      </c>
      <c r="FG28" t="e">
        <f>AND(#REF!,"AAAAAEy/p6I=")</f>
        <v>#REF!</v>
      </c>
      <c r="FH28" t="e">
        <f>AND(#REF!,"AAAAAEy/p6M=")</f>
        <v>#REF!</v>
      </c>
      <c r="FI28" t="e">
        <f>AND(#REF!,"AAAAAEy/p6Q=")</f>
        <v>#REF!</v>
      </c>
      <c r="FJ28" t="e">
        <f>AND(#REF!,"AAAAAEy/p6U=")</f>
        <v>#REF!</v>
      </c>
      <c r="FK28" t="e">
        <f>AND(#REF!,"AAAAAEy/p6Y=")</f>
        <v>#REF!</v>
      </c>
      <c r="FL28" t="e">
        <f>AND(#REF!,"AAAAAEy/p6c=")</f>
        <v>#REF!</v>
      </c>
      <c r="FM28" t="e">
        <f>AND(#REF!,"AAAAAEy/p6g=")</f>
        <v>#REF!</v>
      </c>
      <c r="FN28" t="e">
        <f>AND(#REF!,"AAAAAEy/p6k=")</f>
        <v>#REF!</v>
      </c>
      <c r="FO28" t="e">
        <f>AND(#REF!,"AAAAAEy/p6o=")</f>
        <v>#REF!</v>
      </c>
      <c r="FP28" t="e">
        <f>AND(#REF!,"AAAAAEy/p6s=")</f>
        <v>#REF!</v>
      </c>
      <c r="FQ28" t="e">
        <f>IF(#REF!,"AAAAAEy/p6w=",0)</f>
        <v>#REF!</v>
      </c>
      <c r="FR28" t="e">
        <f>AND(#REF!,"AAAAAEy/p60=")</f>
        <v>#REF!</v>
      </c>
      <c r="FS28" t="e">
        <f>AND(#REF!,"AAAAAEy/p64=")</f>
        <v>#REF!</v>
      </c>
      <c r="FT28" t="e">
        <f>AND(#REF!,"AAAAAEy/p68=")</f>
        <v>#REF!</v>
      </c>
      <c r="FU28" t="e">
        <f>AND(#REF!,"AAAAAEy/p7A=")</f>
        <v>#REF!</v>
      </c>
      <c r="FV28" t="e">
        <f>AND(#REF!,"AAAAAEy/p7E=")</f>
        <v>#REF!</v>
      </c>
      <c r="FW28" t="e">
        <f>AND(#REF!,"AAAAAEy/p7I=")</f>
        <v>#REF!</v>
      </c>
      <c r="FX28" t="e">
        <f>AND(#REF!,"AAAAAEy/p7M=")</f>
        <v>#REF!</v>
      </c>
      <c r="FY28" t="e">
        <f>AND(#REF!,"AAAAAEy/p7Q=")</f>
        <v>#REF!</v>
      </c>
      <c r="FZ28" t="e">
        <f>AND(#REF!,"AAAAAEy/p7U=")</f>
        <v>#REF!</v>
      </c>
      <c r="GA28" t="e">
        <f>AND(#REF!,"AAAAAEy/p7Y=")</f>
        <v>#REF!</v>
      </c>
      <c r="GB28" t="e">
        <f>AND(#REF!,"AAAAAEy/p7c=")</f>
        <v>#REF!</v>
      </c>
      <c r="GC28" t="e">
        <f>IF(#REF!,"AAAAAEy/p7g=",0)</f>
        <v>#REF!</v>
      </c>
      <c r="GD28" t="e">
        <f>AND(#REF!,"AAAAAEy/p7k=")</f>
        <v>#REF!</v>
      </c>
      <c r="GE28" t="e">
        <f>AND(#REF!,"AAAAAEy/p7o=")</f>
        <v>#REF!</v>
      </c>
      <c r="GF28" t="e">
        <f>AND(#REF!,"AAAAAEy/p7s=")</f>
        <v>#REF!</v>
      </c>
      <c r="GG28" t="e">
        <f>AND(#REF!,"AAAAAEy/p7w=")</f>
        <v>#REF!</v>
      </c>
      <c r="GH28" t="e">
        <f>AND(#REF!,"AAAAAEy/p70=")</f>
        <v>#REF!</v>
      </c>
      <c r="GI28" t="e">
        <f>AND(#REF!,"AAAAAEy/p74=")</f>
        <v>#REF!</v>
      </c>
      <c r="GJ28" t="e">
        <f>AND(#REF!,"AAAAAEy/p78=")</f>
        <v>#REF!</v>
      </c>
      <c r="GK28" t="e">
        <f>AND(#REF!,"AAAAAEy/p8A=")</f>
        <v>#REF!</v>
      </c>
      <c r="GL28" t="e">
        <f>AND(#REF!,"AAAAAEy/p8E=")</f>
        <v>#REF!</v>
      </c>
      <c r="GM28" t="e">
        <f>AND(#REF!,"AAAAAEy/p8I=")</f>
        <v>#REF!</v>
      </c>
      <c r="GN28" t="e">
        <f>AND(#REF!,"AAAAAEy/p8M=")</f>
        <v>#REF!</v>
      </c>
      <c r="GO28" t="e">
        <f>IF(#REF!,"AAAAAEy/p8Q=",0)</f>
        <v>#REF!</v>
      </c>
      <c r="GP28" t="e">
        <f>AND(#REF!,"AAAAAEy/p8U=")</f>
        <v>#REF!</v>
      </c>
      <c r="GQ28" t="e">
        <f>AND(#REF!,"AAAAAEy/p8Y=")</f>
        <v>#REF!</v>
      </c>
      <c r="GR28" t="e">
        <f>AND(#REF!,"AAAAAEy/p8c=")</f>
        <v>#REF!</v>
      </c>
      <c r="GS28" t="e">
        <f>AND(#REF!,"AAAAAEy/p8g=")</f>
        <v>#REF!</v>
      </c>
      <c r="GT28" t="e">
        <f>AND(#REF!,"AAAAAEy/p8k=")</f>
        <v>#REF!</v>
      </c>
      <c r="GU28" t="e">
        <f>AND(#REF!,"AAAAAEy/p8o=")</f>
        <v>#REF!</v>
      </c>
      <c r="GV28" t="e">
        <f>AND(#REF!,"AAAAAEy/p8s=")</f>
        <v>#REF!</v>
      </c>
      <c r="GW28" t="e">
        <f>AND(#REF!,"AAAAAEy/p8w=")</f>
        <v>#REF!</v>
      </c>
      <c r="GX28" t="e">
        <f>AND(#REF!,"AAAAAEy/p80=")</f>
        <v>#REF!</v>
      </c>
      <c r="GY28" t="e">
        <f>AND(#REF!,"AAAAAEy/p84=")</f>
        <v>#REF!</v>
      </c>
      <c r="GZ28" t="e">
        <f>AND(#REF!,"AAAAAEy/p88=")</f>
        <v>#REF!</v>
      </c>
      <c r="HA28" t="e">
        <f>IF(#REF!,"AAAAAEy/p9A=",0)</f>
        <v>#REF!</v>
      </c>
      <c r="HB28" t="e">
        <f>AND(#REF!,"AAAAAEy/p9E=")</f>
        <v>#REF!</v>
      </c>
      <c r="HC28" t="e">
        <f>AND(#REF!,"AAAAAEy/p9I=")</f>
        <v>#REF!</v>
      </c>
      <c r="HD28" t="e">
        <f>AND(#REF!,"AAAAAEy/p9M=")</f>
        <v>#REF!</v>
      </c>
      <c r="HE28" t="e">
        <f>AND(#REF!,"AAAAAEy/p9Q=")</f>
        <v>#REF!</v>
      </c>
      <c r="HF28" t="e">
        <f>AND(#REF!,"AAAAAEy/p9U=")</f>
        <v>#REF!</v>
      </c>
      <c r="HG28" t="e">
        <f>AND(#REF!,"AAAAAEy/p9Y=")</f>
        <v>#REF!</v>
      </c>
      <c r="HH28" t="e">
        <f>AND(#REF!,"AAAAAEy/p9c=")</f>
        <v>#REF!</v>
      </c>
      <c r="HI28" t="e">
        <f>AND(#REF!,"AAAAAEy/p9g=")</f>
        <v>#REF!</v>
      </c>
      <c r="HJ28" t="e">
        <f>AND(#REF!,"AAAAAEy/p9k=")</f>
        <v>#REF!</v>
      </c>
      <c r="HK28" t="e">
        <f>AND(#REF!,"AAAAAEy/p9o=")</f>
        <v>#REF!</v>
      </c>
      <c r="HL28" t="e">
        <f>AND(#REF!,"AAAAAEy/p9s=")</f>
        <v>#REF!</v>
      </c>
      <c r="HM28" t="e">
        <f>IF(#REF!,"AAAAAEy/p9w=",0)</f>
        <v>#REF!</v>
      </c>
      <c r="HN28" t="e">
        <f>AND(#REF!,"AAAAAEy/p90=")</f>
        <v>#REF!</v>
      </c>
      <c r="HO28" t="e">
        <f>AND(#REF!,"AAAAAEy/p94=")</f>
        <v>#REF!</v>
      </c>
      <c r="HP28" t="e">
        <f>AND(#REF!,"AAAAAEy/p98=")</f>
        <v>#REF!</v>
      </c>
      <c r="HQ28" t="e">
        <f>AND(#REF!,"AAAAAEy/p+A=")</f>
        <v>#REF!</v>
      </c>
      <c r="HR28" t="e">
        <f>AND(#REF!,"AAAAAEy/p+E=")</f>
        <v>#REF!</v>
      </c>
      <c r="HS28" t="e">
        <f>AND(#REF!,"AAAAAEy/p+I=")</f>
        <v>#REF!</v>
      </c>
      <c r="HT28" t="e">
        <f>AND(#REF!,"AAAAAEy/p+M=")</f>
        <v>#REF!</v>
      </c>
      <c r="HU28" t="e">
        <f>AND(#REF!,"AAAAAEy/p+Q=")</f>
        <v>#REF!</v>
      </c>
      <c r="HV28" t="e">
        <f>AND(#REF!,"AAAAAEy/p+U=")</f>
        <v>#REF!</v>
      </c>
      <c r="HW28" t="e">
        <f>AND(#REF!,"AAAAAEy/p+Y=")</f>
        <v>#REF!</v>
      </c>
      <c r="HX28" t="e">
        <f>AND(#REF!,"AAAAAEy/p+c=")</f>
        <v>#REF!</v>
      </c>
      <c r="HY28" t="e">
        <f>IF(#REF!,"AAAAAEy/p+g=",0)</f>
        <v>#REF!</v>
      </c>
      <c r="HZ28" t="e">
        <f>AND(#REF!,"AAAAAEy/p+k=")</f>
        <v>#REF!</v>
      </c>
      <c r="IA28" t="e">
        <f>AND(#REF!,"AAAAAEy/p+o=")</f>
        <v>#REF!</v>
      </c>
      <c r="IB28" t="e">
        <f>AND(#REF!,"AAAAAEy/p+s=")</f>
        <v>#REF!</v>
      </c>
      <c r="IC28" t="e">
        <f>AND(#REF!,"AAAAAEy/p+w=")</f>
        <v>#REF!</v>
      </c>
      <c r="ID28" t="e">
        <f>AND(#REF!,"AAAAAEy/p+0=")</f>
        <v>#REF!</v>
      </c>
      <c r="IE28" t="e">
        <f>AND(#REF!,"AAAAAEy/p+4=")</f>
        <v>#REF!</v>
      </c>
      <c r="IF28" t="e">
        <f>AND(#REF!,"AAAAAEy/p+8=")</f>
        <v>#REF!</v>
      </c>
      <c r="IG28" t="e">
        <f>AND(#REF!,"AAAAAEy/p/A=")</f>
        <v>#REF!</v>
      </c>
      <c r="IH28" t="e">
        <f>AND(#REF!,"AAAAAEy/p/E=")</f>
        <v>#REF!</v>
      </c>
      <c r="II28" t="e">
        <f>AND(#REF!,"AAAAAEy/p/I=")</f>
        <v>#REF!</v>
      </c>
      <c r="IJ28" t="e">
        <f>AND(#REF!,"AAAAAEy/p/M=")</f>
        <v>#REF!</v>
      </c>
      <c r="IK28" t="e">
        <f>IF(#REF!,"AAAAAEy/p/Q=",0)</f>
        <v>#REF!</v>
      </c>
      <c r="IL28" t="e">
        <f>AND(#REF!,"AAAAAEy/p/U=")</f>
        <v>#REF!</v>
      </c>
      <c r="IM28" t="e">
        <f>AND(#REF!,"AAAAAEy/p/Y=")</f>
        <v>#REF!</v>
      </c>
      <c r="IN28" t="e">
        <f>AND(#REF!,"AAAAAEy/p/c=")</f>
        <v>#REF!</v>
      </c>
      <c r="IO28" t="e">
        <f>AND(#REF!,"AAAAAEy/p/g=")</f>
        <v>#REF!</v>
      </c>
      <c r="IP28" t="e">
        <f>AND(#REF!,"AAAAAEy/p/k=")</f>
        <v>#REF!</v>
      </c>
      <c r="IQ28" t="e">
        <f>AND(#REF!,"AAAAAEy/p/o=")</f>
        <v>#REF!</v>
      </c>
      <c r="IR28" t="e">
        <f>AND(#REF!,"AAAAAEy/p/s=")</f>
        <v>#REF!</v>
      </c>
      <c r="IS28" t="e">
        <f>AND(#REF!,"AAAAAEy/p/w=")</f>
        <v>#REF!</v>
      </c>
      <c r="IT28" t="e">
        <f>AND(#REF!,"AAAAAEy/p/0=")</f>
        <v>#REF!</v>
      </c>
      <c r="IU28" t="e">
        <f>AND(#REF!,"AAAAAEy/p/4=")</f>
        <v>#REF!</v>
      </c>
      <c r="IV28" t="e">
        <f>AND(#REF!,"AAAAAEy/p/8=")</f>
        <v>#REF!</v>
      </c>
    </row>
    <row r="29" spans="1:256" ht="15">
      <c r="A29" t="e">
        <f>IF(#REF!,"AAAAAHy/rwA=",0)</f>
        <v>#REF!</v>
      </c>
      <c r="B29" t="e">
        <f>AND(#REF!,"AAAAAHy/rwE=")</f>
        <v>#REF!</v>
      </c>
      <c r="C29" t="e">
        <f>AND(#REF!,"AAAAAHy/rwI=")</f>
        <v>#REF!</v>
      </c>
      <c r="D29" t="e">
        <f>AND(#REF!,"AAAAAHy/rwM=")</f>
        <v>#REF!</v>
      </c>
      <c r="E29" t="e">
        <f>AND(#REF!,"AAAAAHy/rwQ=")</f>
        <v>#REF!</v>
      </c>
      <c r="F29" t="e">
        <f>AND(#REF!,"AAAAAHy/rwU=")</f>
        <v>#REF!</v>
      </c>
      <c r="G29" t="e">
        <f>AND(#REF!,"AAAAAHy/rwY=")</f>
        <v>#REF!</v>
      </c>
      <c r="H29" t="e">
        <f>AND(#REF!,"AAAAAHy/rwc=")</f>
        <v>#REF!</v>
      </c>
      <c r="I29" t="e">
        <f>AND(#REF!,"AAAAAHy/rwg=")</f>
        <v>#REF!</v>
      </c>
      <c r="J29" t="e">
        <f>AND(#REF!,"AAAAAHy/rwk=")</f>
        <v>#REF!</v>
      </c>
      <c r="K29" t="e">
        <f>AND(#REF!,"AAAAAHy/rwo=")</f>
        <v>#REF!</v>
      </c>
      <c r="L29" t="e">
        <f>AND(#REF!,"AAAAAHy/rws=")</f>
        <v>#REF!</v>
      </c>
      <c r="M29" t="e">
        <f>IF(#REF!,"AAAAAHy/rww=",0)</f>
        <v>#REF!</v>
      </c>
      <c r="N29" t="e">
        <f>AND(#REF!,"AAAAAHy/rw0=")</f>
        <v>#REF!</v>
      </c>
      <c r="O29" t="e">
        <f>AND(#REF!,"AAAAAHy/rw4=")</f>
        <v>#REF!</v>
      </c>
      <c r="P29" t="e">
        <f>AND(#REF!,"AAAAAHy/rw8=")</f>
        <v>#REF!</v>
      </c>
      <c r="Q29" t="e">
        <f>AND(#REF!,"AAAAAHy/rxA=")</f>
        <v>#REF!</v>
      </c>
      <c r="R29" t="e">
        <f>AND(#REF!,"AAAAAHy/rxE=")</f>
        <v>#REF!</v>
      </c>
      <c r="S29" t="e">
        <f>AND(#REF!,"AAAAAHy/rxI=")</f>
        <v>#REF!</v>
      </c>
      <c r="T29" t="e">
        <f>AND(#REF!,"AAAAAHy/rxM=")</f>
        <v>#REF!</v>
      </c>
      <c r="U29" t="e">
        <f>AND(#REF!,"AAAAAHy/rxQ=")</f>
        <v>#REF!</v>
      </c>
      <c r="V29" t="e">
        <f>AND(#REF!,"AAAAAHy/rxU=")</f>
        <v>#REF!</v>
      </c>
      <c r="W29" t="e">
        <f>AND(#REF!,"AAAAAHy/rxY=")</f>
        <v>#REF!</v>
      </c>
      <c r="X29" t="e">
        <f>AND(#REF!,"AAAAAHy/rxc=")</f>
        <v>#REF!</v>
      </c>
      <c r="Y29" t="e">
        <f>IF(#REF!,"AAAAAHy/rxg=",0)</f>
        <v>#REF!</v>
      </c>
      <c r="Z29" t="e">
        <f>AND(#REF!,"AAAAAHy/rxk=")</f>
        <v>#REF!</v>
      </c>
      <c r="AA29" t="e">
        <f>AND(#REF!,"AAAAAHy/rxo=")</f>
        <v>#REF!</v>
      </c>
      <c r="AB29" t="e">
        <f>AND(#REF!,"AAAAAHy/rxs=")</f>
        <v>#REF!</v>
      </c>
      <c r="AC29" t="e">
        <f>AND(#REF!,"AAAAAHy/rxw=")</f>
        <v>#REF!</v>
      </c>
      <c r="AD29" t="e">
        <f>AND(#REF!,"AAAAAHy/rx0=")</f>
        <v>#REF!</v>
      </c>
      <c r="AE29" t="e">
        <f>AND(#REF!,"AAAAAHy/rx4=")</f>
        <v>#REF!</v>
      </c>
      <c r="AF29" t="e">
        <f>AND(#REF!,"AAAAAHy/rx8=")</f>
        <v>#REF!</v>
      </c>
      <c r="AG29" t="e">
        <f>AND(#REF!,"AAAAAHy/ryA=")</f>
        <v>#REF!</v>
      </c>
      <c r="AH29" t="e">
        <f>AND(#REF!,"AAAAAHy/ryE=")</f>
        <v>#REF!</v>
      </c>
      <c r="AI29" t="e">
        <f>AND(#REF!,"AAAAAHy/ryI=")</f>
        <v>#REF!</v>
      </c>
      <c r="AJ29" t="e">
        <f>AND(#REF!,"AAAAAHy/ryM=")</f>
        <v>#REF!</v>
      </c>
      <c r="AK29" t="e">
        <f>IF(#REF!,"AAAAAHy/ryQ=",0)</f>
        <v>#REF!</v>
      </c>
      <c r="AL29" t="e">
        <f>AND(#REF!,"AAAAAHy/ryU=")</f>
        <v>#REF!</v>
      </c>
      <c r="AM29" t="e">
        <f>AND(#REF!,"AAAAAHy/ryY=")</f>
        <v>#REF!</v>
      </c>
      <c r="AN29" t="e">
        <f>AND(#REF!,"AAAAAHy/ryc=")</f>
        <v>#REF!</v>
      </c>
      <c r="AO29" t="e">
        <f>AND(#REF!,"AAAAAHy/ryg=")</f>
        <v>#REF!</v>
      </c>
      <c r="AP29" t="e">
        <f>AND(#REF!,"AAAAAHy/ryk=")</f>
        <v>#REF!</v>
      </c>
      <c r="AQ29" t="e">
        <f>AND(#REF!,"AAAAAHy/ryo=")</f>
        <v>#REF!</v>
      </c>
      <c r="AR29" t="e">
        <f>AND(#REF!,"AAAAAHy/rys=")</f>
        <v>#REF!</v>
      </c>
      <c r="AS29" t="e">
        <f>AND(#REF!,"AAAAAHy/ryw=")</f>
        <v>#REF!</v>
      </c>
      <c r="AT29" t="e">
        <f>AND(#REF!,"AAAAAHy/ry0=")</f>
        <v>#REF!</v>
      </c>
      <c r="AU29" t="e">
        <f>AND(#REF!,"AAAAAHy/ry4=")</f>
        <v>#REF!</v>
      </c>
      <c r="AV29" t="e">
        <f>AND(#REF!,"AAAAAHy/ry8=")</f>
        <v>#REF!</v>
      </c>
      <c r="AW29" t="e">
        <f>IF(#REF!,"AAAAAHy/rzA=",0)</f>
        <v>#REF!</v>
      </c>
      <c r="AX29" t="e">
        <f>AND(#REF!,"AAAAAHy/rzE=")</f>
        <v>#REF!</v>
      </c>
      <c r="AY29" t="e">
        <f>AND(#REF!,"AAAAAHy/rzI=")</f>
        <v>#REF!</v>
      </c>
      <c r="AZ29" t="e">
        <f>AND(#REF!,"AAAAAHy/rzM=")</f>
        <v>#REF!</v>
      </c>
      <c r="BA29" t="e">
        <f>AND(#REF!,"AAAAAHy/rzQ=")</f>
        <v>#REF!</v>
      </c>
      <c r="BB29" t="e">
        <f>AND(#REF!,"AAAAAHy/rzU=")</f>
        <v>#REF!</v>
      </c>
      <c r="BC29" t="e">
        <f>AND(#REF!,"AAAAAHy/rzY=")</f>
        <v>#REF!</v>
      </c>
      <c r="BD29" t="e">
        <f>AND(#REF!,"AAAAAHy/rzc=")</f>
        <v>#REF!</v>
      </c>
      <c r="BE29" t="e">
        <f>AND(#REF!,"AAAAAHy/rzg=")</f>
        <v>#REF!</v>
      </c>
      <c r="BF29" t="e">
        <f>AND(#REF!,"AAAAAHy/rzk=")</f>
        <v>#REF!</v>
      </c>
      <c r="BG29" t="e">
        <f>AND(#REF!,"AAAAAHy/rzo=")</f>
        <v>#REF!</v>
      </c>
      <c r="BH29" t="e">
        <f>AND(#REF!,"AAAAAHy/rzs=")</f>
        <v>#REF!</v>
      </c>
      <c r="BI29" t="e">
        <f>IF(#REF!,"AAAAAHy/rzw=",0)</f>
        <v>#REF!</v>
      </c>
      <c r="BJ29" t="e">
        <f>AND(#REF!,"AAAAAHy/rz0=")</f>
        <v>#REF!</v>
      </c>
      <c r="BK29" t="e">
        <f>AND(#REF!,"AAAAAHy/rz4=")</f>
        <v>#REF!</v>
      </c>
      <c r="BL29" t="e">
        <f>AND(#REF!,"AAAAAHy/rz8=")</f>
        <v>#REF!</v>
      </c>
      <c r="BM29" t="e">
        <f>AND(#REF!,"AAAAAHy/r0A=")</f>
        <v>#REF!</v>
      </c>
      <c r="BN29" t="e">
        <f>AND(#REF!,"AAAAAHy/r0E=")</f>
        <v>#REF!</v>
      </c>
      <c r="BO29" t="e">
        <f>AND(#REF!,"AAAAAHy/r0I=")</f>
        <v>#REF!</v>
      </c>
      <c r="BP29" t="e">
        <f>AND(#REF!,"AAAAAHy/r0M=")</f>
        <v>#REF!</v>
      </c>
      <c r="BQ29" t="e">
        <f>AND(#REF!,"AAAAAHy/r0Q=")</f>
        <v>#REF!</v>
      </c>
      <c r="BR29" t="e">
        <f>AND(#REF!,"AAAAAHy/r0U=")</f>
        <v>#REF!</v>
      </c>
      <c r="BS29" t="e">
        <f>AND(#REF!,"AAAAAHy/r0Y=")</f>
        <v>#REF!</v>
      </c>
      <c r="BT29" t="e">
        <f>AND(#REF!,"AAAAAHy/r0c=")</f>
        <v>#REF!</v>
      </c>
      <c r="BU29" t="e">
        <f>IF(#REF!,"AAAAAHy/r0g=",0)</f>
        <v>#REF!</v>
      </c>
      <c r="BV29" t="e">
        <f>AND(#REF!,"AAAAAHy/r0k=")</f>
        <v>#REF!</v>
      </c>
      <c r="BW29" t="e">
        <f>AND(#REF!,"AAAAAHy/r0o=")</f>
        <v>#REF!</v>
      </c>
      <c r="BX29" t="e">
        <f>AND(#REF!,"AAAAAHy/r0s=")</f>
        <v>#REF!</v>
      </c>
      <c r="BY29" t="e">
        <f>AND(#REF!,"AAAAAHy/r0w=")</f>
        <v>#REF!</v>
      </c>
      <c r="BZ29" t="e">
        <f>AND(#REF!,"AAAAAHy/r00=")</f>
        <v>#REF!</v>
      </c>
      <c r="CA29" t="e">
        <f>AND(#REF!,"AAAAAHy/r04=")</f>
        <v>#REF!</v>
      </c>
      <c r="CB29" t="e">
        <f>AND(#REF!,"AAAAAHy/r08=")</f>
        <v>#REF!</v>
      </c>
      <c r="CC29" t="e">
        <f>AND(#REF!,"AAAAAHy/r1A=")</f>
        <v>#REF!</v>
      </c>
      <c r="CD29" t="e">
        <f>AND(#REF!,"AAAAAHy/r1E=")</f>
        <v>#REF!</v>
      </c>
      <c r="CE29" t="e">
        <f>AND(#REF!,"AAAAAHy/r1I=")</f>
        <v>#REF!</v>
      </c>
      <c r="CF29" t="e">
        <f>AND(#REF!,"AAAAAHy/r1M=")</f>
        <v>#REF!</v>
      </c>
      <c r="CG29" t="e">
        <f>IF(#REF!,"AAAAAHy/r1Q=",0)</f>
        <v>#REF!</v>
      </c>
      <c r="CH29" t="e">
        <f>AND(#REF!,"AAAAAHy/r1U=")</f>
        <v>#REF!</v>
      </c>
      <c r="CI29" t="e">
        <f>AND(#REF!,"AAAAAHy/r1Y=")</f>
        <v>#REF!</v>
      </c>
      <c r="CJ29" t="e">
        <f>AND(#REF!,"AAAAAHy/r1c=")</f>
        <v>#REF!</v>
      </c>
      <c r="CK29" t="e">
        <f>AND(#REF!,"AAAAAHy/r1g=")</f>
        <v>#REF!</v>
      </c>
      <c r="CL29" t="e">
        <f>AND(#REF!,"AAAAAHy/r1k=")</f>
        <v>#REF!</v>
      </c>
      <c r="CM29" t="e">
        <f>AND(#REF!,"AAAAAHy/r1o=")</f>
        <v>#REF!</v>
      </c>
      <c r="CN29" t="e">
        <f>AND(#REF!,"AAAAAHy/r1s=")</f>
        <v>#REF!</v>
      </c>
      <c r="CO29" t="e">
        <f>AND(#REF!,"AAAAAHy/r1w=")</f>
        <v>#REF!</v>
      </c>
      <c r="CP29" t="e">
        <f>AND(#REF!,"AAAAAHy/r10=")</f>
        <v>#REF!</v>
      </c>
      <c r="CQ29" t="e">
        <f>AND(#REF!,"AAAAAHy/r14=")</f>
        <v>#REF!</v>
      </c>
      <c r="CR29" t="e">
        <f>AND(#REF!,"AAAAAHy/r18=")</f>
        <v>#REF!</v>
      </c>
      <c r="CS29" t="e">
        <f>IF(#REF!,"AAAAAHy/r2A=",0)</f>
        <v>#REF!</v>
      </c>
      <c r="CT29" t="e">
        <f>AND(#REF!,"AAAAAHy/r2E=")</f>
        <v>#REF!</v>
      </c>
      <c r="CU29" t="e">
        <f>AND(#REF!,"AAAAAHy/r2I=")</f>
        <v>#REF!</v>
      </c>
      <c r="CV29" t="e">
        <f>AND(#REF!,"AAAAAHy/r2M=")</f>
        <v>#REF!</v>
      </c>
      <c r="CW29" t="e">
        <f>AND(#REF!,"AAAAAHy/r2Q=")</f>
        <v>#REF!</v>
      </c>
      <c r="CX29" t="e">
        <f>AND(#REF!,"AAAAAHy/r2U=")</f>
        <v>#REF!</v>
      </c>
      <c r="CY29" t="e">
        <f>AND(#REF!,"AAAAAHy/r2Y=")</f>
        <v>#REF!</v>
      </c>
      <c r="CZ29" t="e">
        <f>AND(#REF!,"AAAAAHy/r2c=")</f>
        <v>#REF!</v>
      </c>
      <c r="DA29" t="e">
        <f>AND(#REF!,"AAAAAHy/r2g=")</f>
        <v>#REF!</v>
      </c>
      <c r="DB29" t="e">
        <f>AND(#REF!,"AAAAAHy/r2k=")</f>
        <v>#REF!</v>
      </c>
      <c r="DC29" t="e">
        <f>AND(#REF!,"AAAAAHy/r2o=")</f>
        <v>#REF!</v>
      </c>
      <c r="DD29" t="e">
        <f>AND(#REF!,"AAAAAHy/r2s=")</f>
        <v>#REF!</v>
      </c>
      <c r="DE29" t="e">
        <f>IF(#REF!,"AAAAAHy/r2w=",0)</f>
        <v>#REF!</v>
      </c>
      <c r="DF29" t="e">
        <f>AND(#REF!,"AAAAAHy/r20=")</f>
        <v>#REF!</v>
      </c>
      <c r="DG29" t="e">
        <f>AND(#REF!,"AAAAAHy/r24=")</f>
        <v>#REF!</v>
      </c>
      <c r="DH29" t="e">
        <f>AND(#REF!,"AAAAAHy/r28=")</f>
        <v>#REF!</v>
      </c>
      <c r="DI29" t="e">
        <f>AND(#REF!,"AAAAAHy/r3A=")</f>
        <v>#REF!</v>
      </c>
      <c r="DJ29" t="e">
        <f>AND(#REF!,"AAAAAHy/r3E=")</f>
        <v>#REF!</v>
      </c>
      <c r="DK29" t="e">
        <f>AND(#REF!,"AAAAAHy/r3I=")</f>
        <v>#REF!</v>
      </c>
      <c r="DL29" t="e">
        <f>AND(#REF!,"AAAAAHy/r3M=")</f>
        <v>#REF!</v>
      </c>
      <c r="DM29" t="e">
        <f>AND(#REF!,"AAAAAHy/r3Q=")</f>
        <v>#REF!</v>
      </c>
      <c r="DN29" t="e">
        <f>AND(#REF!,"AAAAAHy/r3U=")</f>
        <v>#REF!</v>
      </c>
      <c r="DO29" t="e">
        <f>AND(#REF!,"AAAAAHy/r3Y=")</f>
        <v>#REF!</v>
      </c>
      <c r="DP29" t="e">
        <f>AND(#REF!,"AAAAAHy/r3c=")</f>
        <v>#REF!</v>
      </c>
      <c r="DQ29" t="e">
        <f>IF(#REF!,"AAAAAHy/r3g=",0)</f>
        <v>#REF!</v>
      </c>
      <c r="DR29" t="e">
        <f>IF(#REF!,"AAAAAHy/r3k=",0)</f>
        <v>#REF!</v>
      </c>
      <c r="DS29" t="e">
        <f>IF(#REF!,"AAAAAHy/r3o=",0)</f>
        <v>#REF!</v>
      </c>
      <c r="DT29" t="e">
        <f>IF(#REF!,"AAAAAHy/r3s=",0)</f>
        <v>#REF!</v>
      </c>
      <c r="DU29" t="e">
        <f>IF(#REF!,"AAAAAHy/r3w=",0)</f>
        <v>#REF!</v>
      </c>
      <c r="DV29" t="e">
        <f>IF(#REF!,"AAAAAHy/r30=",0)</f>
        <v>#REF!</v>
      </c>
      <c r="DW29" t="e">
        <f>IF(#REF!,"AAAAAHy/r34=",0)</f>
        <v>#REF!</v>
      </c>
      <c r="DX29" t="e">
        <f>IF(#REF!,"AAAAAHy/r38=",0)</f>
        <v>#REF!</v>
      </c>
      <c r="DY29" t="e">
        <f>IF(#REF!,"AAAAAHy/r4A=",0)</f>
        <v>#REF!</v>
      </c>
      <c r="DZ29" t="e">
        <f>IF(#REF!,"AAAAAHy/r4E=",0)</f>
        <v>#REF!</v>
      </c>
      <c r="EA29" t="e">
        <f>IF(#REF!,"AAAAAHy/r4I=",0)</f>
        <v>#REF!</v>
      </c>
      <c r="EB29" t="e">
        <f>IF(#REF!,"AAAAAHy/r4M=",0)</f>
        <v>#REF!</v>
      </c>
      <c r="EC29" t="e">
        <f>IF(#REF!,"AAAAAHy/r4Q=",0)</f>
        <v>#REF!</v>
      </c>
      <c r="ED29" t="e">
        <f>IF(#REF!,"AAAAAHy/r4U=",0)</f>
        <v>#REF!</v>
      </c>
      <c r="EE29" t="e">
        <f>IF(#REF!,"AAAAAHy/r4Y=",0)</f>
        <v>#REF!</v>
      </c>
      <c r="EF29" t="e">
        <f>AND(#REF!,"AAAAAHy/r4c=")</f>
        <v>#REF!</v>
      </c>
      <c r="EG29" t="e">
        <f>AND(#REF!,"AAAAAHy/r4g=")</f>
        <v>#REF!</v>
      </c>
      <c r="EH29" t="e">
        <f>AND(#REF!,"AAAAAHy/r4k=")</f>
        <v>#REF!</v>
      </c>
      <c r="EI29" t="e">
        <f>AND(#REF!,"AAAAAHy/r4o=")</f>
        <v>#REF!</v>
      </c>
      <c r="EJ29" t="e">
        <f>AND(#REF!,"AAAAAHy/r4s=")</f>
        <v>#REF!</v>
      </c>
      <c r="EK29" t="e">
        <f>AND(#REF!,"AAAAAHy/r4w=")</f>
        <v>#REF!</v>
      </c>
      <c r="EL29" t="e">
        <f>AND(#REF!,"AAAAAHy/r40=")</f>
        <v>#REF!</v>
      </c>
      <c r="EM29" t="e">
        <f>AND(#REF!,"AAAAAHy/r44=")</f>
        <v>#REF!</v>
      </c>
      <c r="EN29" t="e">
        <f>AND(#REF!,"AAAAAHy/r48=")</f>
        <v>#REF!</v>
      </c>
      <c r="EO29" t="e">
        <f>IF(#REF!,"AAAAAHy/r5A=",0)</f>
        <v>#REF!</v>
      </c>
      <c r="EP29" t="e">
        <f>AND(#REF!,"AAAAAHy/r5E=")</f>
        <v>#REF!</v>
      </c>
      <c r="EQ29" t="e">
        <f>AND(#REF!,"AAAAAHy/r5I=")</f>
        <v>#REF!</v>
      </c>
      <c r="ER29" t="e">
        <f>AND(#REF!,"AAAAAHy/r5M=")</f>
        <v>#REF!</v>
      </c>
      <c r="ES29" t="e">
        <f>AND(#REF!,"AAAAAHy/r5Q=")</f>
        <v>#REF!</v>
      </c>
      <c r="ET29" t="e">
        <f>AND(#REF!,"AAAAAHy/r5U=")</f>
        <v>#REF!</v>
      </c>
      <c r="EU29" t="e">
        <f>AND(#REF!,"AAAAAHy/r5Y=")</f>
        <v>#REF!</v>
      </c>
      <c r="EV29" t="e">
        <f>AND(#REF!,"AAAAAHy/r5c=")</f>
        <v>#REF!</v>
      </c>
      <c r="EW29" t="e">
        <f>AND(#REF!,"AAAAAHy/r5g=")</f>
        <v>#REF!</v>
      </c>
      <c r="EX29" t="e">
        <f>AND(#REF!,"AAAAAHy/r5k=")</f>
        <v>#REF!</v>
      </c>
      <c r="EY29" t="e">
        <f>IF(#REF!,"AAAAAHy/r5o=",0)</f>
        <v>#REF!</v>
      </c>
      <c r="EZ29" t="e">
        <f>AND(#REF!,"AAAAAHy/r5s=")</f>
        <v>#REF!</v>
      </c>
      <c r="FA29" t="e">
        <f>AND(#REF!,"AAAAAHy/r5w=")</f>
        <v>#REF!</v>
      </c>
      <c r="FB29" t="e">
        <f>AND(#REF!,"AAAAAHy/r50=")</f>
        <v>#REF!</v>
      </c>
      <c r="FC29" t="e">
        <f>AND(#REF!,"AAAAAHy/r54=")</f>
        <v>#REF!</v>
      </c>
      <c r="FD29" t="e">
        <f>AND(#REF!,"AAAAAHy/r58=")</f>
        <v>#REF!</v>
      </c>
      <c r="FE29" t="e">
        <f>AND(#REF!,"AAAAAHy/r6A=")</f>
        <v>#REF!</v>
      </c>
      <c r="FF29" t="e">
        <f>AND(#REF!,"AAAAAHy/r6E=")</f>
        <v>#REF!</v>
      </c>
      <c r="FG29" t="e">
        <f>AND(#REF!,"AAAAAHy/r6I=")</f>
        <v>#REF!</v>
      </c>
      <c r="FH29" t="e">
        <f>AND(#REF!,"AAAAAHy/r6M=")</f>
        <v>#REF!</v>
      </c>
      <c r="FI29" t="e">
        <f>IF(#REF!,"AAAAAHy/r6Q=",0)</f>
        <v>#REF!</v>
      </c>
      <c r="FJ29" t="e">
        <f>AND(#REF!,"AAAAAHy/r6U=")</f>
        <v>#REF!</v>
      </c>
      <c r="FK29" t="e">
        <f>AND(#REF!,"AAAAAHy/r6Y=")</f>
        <v>#REF!</v>
      </c>
      <c r="FL29" t="e">
        <f>AND(#REF!,"AAAAAHy/r6c=")</f>
        <v>#REF!</v>
      </c>
      <c r="FM29" t="e">
        <f>AND(#REF!,"AAAAAHy/r6g=")</f>
        <v>#REF!</v>
      </c>
      <c r="FN29" t="e">
        <f>AND(#REF!,"AAAAAHy/r6k=")</f>
        <v>#REF!</v>
      </c>
      <c r="FO29" t="e">
        <f>AND(#REF!,"AAAAAHy/r6o=")</f>
        <v>#REF!</v>
      </c>
      <c r="FP29" t="e">
        <f>AND(#REF!,"AAAAAHy/r6s=")</f>
        <v>#REF!</v>
      </c>
      <c r="FQ29" t="e">
        <f>AND(#REF!,"AAAAAHy/r6w=")</f>
        <v>#REF!</v>
      </c>
      <c r="FR29" t="e">
        <f>AND(#REF!,"AAAAAHy/r60=")</f>
        <v>#REF!</v>
      </c>
      <c r="FS29" t="e">
        <f>IF(#REF!,"AAAAAHy/r64=",0)</f>
        <v>#REF!</v>
      </c>
      <c r="FT29" t="e">
        <f>AND(#REF!,"AAAAAHy/r68=")</f>
        <v>#REF!</v>
      </c>
      <c r="FU29" t="e">
        <f>AND(#REF!,"AAAAAHy/r7A=")</f>
        <v>#REF!</v>
      </c>
      <c r="FV29" t="e">
        <f>AND(#REF!,"AAAAAHy/r7E=")</f>
        <v>#REF!</v>
      </c>
      <c r="FW29" t="e">
        <f>AND(#REF!,"AAAAAHy/r7I=")</f>
        <v>#REF!</v>
      </c>
      <c r="FX29" t="e">
        <f>AND(#REF!,"AAAAAHy/r7M=")</f>
        <v>#REF!</v>
      </c>
      <c r="FY29" t="e">
        <f>AND(#REF!,"AAAAAHy/r7Q=")</f>
        <v>#REF!</v>
      </c>
      <c r="FZ29" t="e">
        <f>AND(#REF!,"AAAAAHy/r7U=")</f>
        <v>#REF!</v>
      </c>
      <c r="GA29" t="e">
        <f>AND(#REF!,"AAAAAHy/r7Y=")</f>
        <v>#REF!</v>
      </c>
      <c r="GB29" t="e">
        <f>AND(#REF!,"AAAAAHy/r7c=")</f>
        <v>#REF!</v>
      </c>
      <c r="GC29" t="e">
        <f>IF(#REF!,"AAAAAHy/r7g=",0)</f>
        <v>#REF!</v>
      </c>
      <c r="GD29" t="e">
        <f>AND(#REF!,"AAAAAHy/r7k=")</f>
        <v>#REF!</v>
      </c>
      <c r="GE29" t="e">
        <f>AND(#REF!,"AAAAAHy/r7o=")</f>
        <v>#REF!</v>
      </c>
      <c r="GF29" t="e">
        <f>AND(#REF!,"AAAAAHy/r7s=")</f>
        <v>#REF!</v>
      </c>
      <c r="GG29" t="e">
        <f>AND(#REF!,"AAAAAHy/r7w=")</f>
        <v>#REF!</v>
      </c>
      <c r="GH29" t="e">
        <f>AND(#REF!,"AAAAAHy/r70=")</f>
        <v>#REF!</v>
      </c>
      <c r="GI29" t="e">
        <f>AND(#REF!,"AAAAAHy/r74=")</f>
        <v>#REF!</v>
      </c>
      <c r="GJ29" t="e">
        <f>AND(#REF!,"AAAAAHy/r78=")</f>
        <v>#REF!</v>
      </c>
      <c r="GK29" t="e">
        <f>AND(#REF!,"AAAAAHy/r8A=")</f>
        <v>#REF!</v>
      </c>
      <c r="GL29" t="e">
        <f>AND(#REF!,"AAAAAHy/r8E=")</f>
        <v>#REF!</v>
      </c>
      <c r="GM29" t="e">
        <f>IF(#REF!,"AAAAAHy/r8I=",0)</f>
        <v>#REF!</v>
      </c>
      <c r="GN29" t="e">
        <f>AND(#REF!,"AAAAAHy/r8M=")</f>
        <v>#REF!</v>
      </c>
      <c r="GO29" t="e">
        <f>AND(#REF!,"AAAAAHy/r8Q=")</f>
        <v>#REF!</v>
      </c>
      <c r="GP29" t="e">
        <f>AND(#REF!,"AAAAAHy/r8U=")</f>
        <v>#REF!</v>
      </c>
      <c r="GQ29" t="e">
        <f>AND(#REF!,"AAAAAHy/r8Y=")</f>
        <v>#REF!</v>
      </c>
      <c r="GR29" t="e">
        <f>AND(#REF!,"AAAAAHy/r8c=")</f>
        <v>#REF!</v>
      </c>
      <c r="GS29" t="e">
        <f>AND(#REF!,"AAAAAHy/r8g=")</f>
        <v>#REF!</v>
      </c>
      <c r="GT29" t="e">
        <f>AND(#REF!,"AAAAAHy/r8k=")</f>
        <v>#REF!</v>
      </c>
      <c r="GU29" t="e">
        <f>AND(#REF!,"AAAAAHy/r8o=")</f>
        <v>#REF!</v>
      </c>
      <c r="GV29" t="e">
        <f>AND(#REF!,"AAAAAHy/r8s=")</f>
        <v>#REF!</v>
      </c>
      <c r="GW29" t="e">
        <f>IF(#REF!,"AAAAAHy/r8w=",0)</f>
        <v>#REF!</v>
      </c>
      <c r="GX29" t="e">
        <f>AND(#REF!,"AAAAAHy/r80=")</f>
        <v>#REF!</v>
      </c>
      <c r="GY29" t="e">
        <f>AND(#REF!,"AAAAAHy/r84=")</f>
        <v>#REF!</v>
      </c>
      <c r="GZ29" t="e">
        <f>AND(#REF!,"AAAAAHy/r88=")</f>
        <v>#REF!</v>
      </c>
      <c r="HA29" t="e">
        <f>AND(#REF!,"AAAAAHy/r9A=")</f>
        <v>#REF!</v>
      </c>
      <c r="HB29" t="e">
        <f>AND(#REF!,"AAAAAHy/r9E=")</f>
        <v>#REF!</v>
      </c>
      <c r="HC29" t="e">
        <f>AND(#REF!,"AAAAAHy/r9I=")</f>
        <v>#REF!</v>
      </c>
      <c r="HD29" t="e">
        <f>AND(#REF!,"AAAAAHy/r9M=")</f>
        <v>#REF!</v>
      </c>
      <c r="HE29" t="e">
        <f>AND(#REF!,"AAAAAHy/r9Q=")</f>
        <v>#REF!</v>
      </c>
      <c r="HF29" t="e">
        <f>AND(#REF!,"AAAAAHy/r9U=")</f>
        <v>#REF!</v>
      </c>
      <c r="HG29" t="e">
        <f>IF(#REF!,"AAAAAHy/r9Y=",0)</f>
        <v>#REF!</v>
      </c>
      <c r="HH29" t="e">
        <f>AND(#REF!,"AAAAAHy/r9c=")</f>
        <v>#REF!</v>
      </c>
      <c r="HI29" t="e">
        <f>AND(#REF!,"AAAAAHy/r9g=")</f>
        <v>#REF!</v>
      </c>
      <c r="HJ29" t="e">
        <f>AND(#REF!,"AAAAAHy/r9k=")</f>
        <v>#REF!</v>
      </c>
      <c r="HK29" t="e">
        <f>AND(#REF!,"AAAAAHy/r9o=")</f>
        <v>#REF!</v>
      </c>
      <c r="HL29" t="e">
        <f>AND(#REF!,"AAAAAHy/r9s=")</f>
        <v>#REF!</v>
      </c>
      <c r="HM29" t="e">
        <f>AND(#REF!,"AAAAAHy/r9w=")</f>
        <v>#REF!</v>
      </c>
      <c r="HN29" t="e">
        <f>AND(#REF!,"AAAAAHy/r90=")</f>
        <v>#REF!</v>
      </c>
      <c r="HO29" t="e">
        <f>AND(#REF!,"AAAAAHy/r94=")</f>
        <v>#REF!</v>
      </c>
      <c r="HP29" t="e">
        <f>AND(#REF!,"AAAAAHy/r98=")</f>
        <v>#REF!</v>
      </c>
      <c r="HQ29" t="e">
        <f>IF(#REF!,"AAAAAHy/r+A=",0)</f>
        <v>#REF!</v>
      </c>
      <c r="HR29" t="e">
        <f>AND(#REF!,"AAAAAHy/r+E=")</f>
        <v>#REF!</v>
      </c>
      <c r="HS29" t="e">
        <f>AND(#REF!,"AAAAAHy/r+I=")</f>
        <v>#REF!</v>
      </c>
      <c r="HT29" t="e">
        <f>AND(#REF!,"AAAAAHy/r+M=")</f>
        <v>#REF!</v>
      </c>
      <c r="HU29" t="e">
        <f>AND(#REF!,"AAAAAHy/r+Q=")</f>
        <v>#REF!</v>
      </c>
      <c r="HV29" t="e">
        <f>AND(#REF!,"AAAAAHy/r+U=")</f>
        <v>#REF!</v>
      </c>
      <c r="HW29" t="e">
        <f>AND(#REF!,"AAAAAHy/r+Y=")</f>
        <v>#REF!</v>
      </c>
      <c r="HX29" t="e">
        <f>AND(#REF!,"AAAAAHy/r+c=")</f>
        <v>#REF!</v>
      </c>
      <c r="HY29" t="e">
        <f>AND(#REF!,"AAAAAHy/r+g=")</f>
        <v>#REF!</v>
      </c>
      <c r="HZ29" t="e">
        <f>AND(#REF!,"AAAAAHy/r+k=")</f>
        <v>#REF!</v>
      </c>
      <c r="IA29" t="e">
        <f>IF(#REF!,"AAAAAHy/r+o=",0)</f>
        <v>#REF!</v>
      </c>
      <c r="IB29" t="e">
        <f>AND(#REF!,"AAAAAHy/r+s=")</f>
        <v>#REF!</v>
      </c>
      <c r="IC29" t="e">
        <f>AND(#REF!,"AAAAAHy/r+w=")</f>
        <v>#REF!</v>
      </c>
      <c r="ID29" t="e">
        <f>AND(#REF!,"AAAAAHy/r+0=")</f>
        <v>#REF!</v>
      </c>
      <c r="IE29" t="e">
        <f>AND(#REF!,"AAAAAHy/r+4=")</f>
        <v>#REF!</v>
      </c>
      <c r="IF29" t="e">
        <f>AND(#REF!,"AAAAAHy/r+8=")</f>
        <v>#REF!</v>
      </c>
      <c r="IG29" t="e">
        <f>AND(#REF!,"AAAAAHy/r/A=")</f>
        <v>#REF!</v>
      </c>
      <c r="IH29" t="e">
        <f>AND(#REF!,"AAAAAHy/r/E=")</f>
        <v>#REF!</v>
      </c>
      <c r="II29" t="e">
        <f>AND(#REF!,"AAAAAHy/r/I=")</f>
        <v>#REF!</v>
      </c>
      <c r="IJ29" t="e">
        <f>AND(#REF!,"AAAAAHy/r/M=")</f>
        <v>#REF!</v>
      </c>
      <c r="IK29" t="e">
        <f>IF(#REF!,"AAAAAHy/r/Q=",0)</f>
        <v>#REF!</v>
      </c>
      <c r="IL29" t="e">
        <f>AND(#REF!,"AAAAAHy/r/U=")</f>
        <v>#REF!</v>
      </c>
      <c r="IM29" t="e">
        <f>AND(#REF!,"AAAAAHy/r/Y=")</f>
        <v>#REF!</v>
      </c>
      <c r="IN29" t="e">
        <f>AND(#REF!,"AAAAAHy/r/c=")</f>
        <v>#REF!</v>
      </c>
      <c r="IO29" t="e">
        <f>AND(#REF!,"AAAAAHy/r/g=")</f>
        <v>#REF!</v>
      </c>
      <c r="IP29" t="e">
        <f>AND(#REF!,"AAAAAHy/r/k=")</f>
        <v>#REF!</v>
      </c>
      <c r="IQ29" t="e">
        <f>AND(#REF!,"AAAAAHy/r/o=")</f>
        <v>#REF!</v>
      </c>
      <c r="IR29" t="e">
        <f>AND(#REF!,"AAAAAHy/r/s=")</f>
        <v>#REF!</v>
      </c>
      <c r="IS29" t="e">
        <f>AND(#REF!,"AAAAAHy/r/w=")</f>
        <v>#REF!</v>
      </c>
      <c r="IT29" t="e">
        <f>AND(#REF!,"AAAAAHy/r/0=")</f>
        <v>#REF!</v>
      </c>
      <c r="IU29" t="e">
        <f>IF(#REF!,"AAAAAHy/r/4=",0)</f>
        <v>#REF!</v>
      </c>
      <c r="IV29" t="e">
        <f>AND(#REF!,"AAAAAHy/r/8=")</f>
        <v>#REF!</v>
      </c>
    </row>
    <row r="30" spans="1:256" ht="15">
      <c r="A30" t="e">
        <f>AND(#REF!,"AAAAAH+/1wA=")</f>
        <v>#REF!</v>
      </c>
      <c r="B30" t="e">
        <f>AND(#REF!,"AAAAAH+/1wE=")</f>
        <v>#REF!</v>
      </c>
      <c r="C30" t="e">
        <f>AND(#REF!,"AAAAAH+/1wI=")</f>
        <v>#REF!</v>
      </c>
      <c r="D30" t="e">
        <f>AND(#REF!,"AAAAAH+/1wM=")</f>
        <v>#REF!</v>
      </c>
      <c r="E30" t="e">
        <f>AND(#REF!,"AAAAAH+/1wQ=")</f>
        <v>#REF!</v>
      </c>
      <c r="F30" t="e">
        <f>AND(#REF!,"AAAAAH+/1wU=")</f>
        <v>#REF!</v>
      </c>
      <c r="G30" t="e">
        <f>AND(#REF!,"AAAAAH+/1wY=")</f>
        <v>#REF!</v>
      </c>
      <c r="H30" t="e">
        <f>AND(#REF!,"AAAAAH+/1wc=")</f>
        <v>#REF!</v>
      </c>
      <c r="I30" t="e">
        <f>IF(#REF!,"AAAAAH+/1wg=",0)</f>
        <v>#REF!</v>
      </c>
      <c r="J30" t="e">
        <f>AND(#REF!,"AAAAAH+/1wk=")</f>
        <v>#REF!</v>
      </c>
      <c r="K30" t="e">
        <f>AND(#REF!,"AAAAAH+/1wo=")</f>
        <v>#REF!</v>
      </c>
      <c r="L30" t="e">
        <f>AND(#REF!,"AAAAAH+/1ws=")</f>
        <v>#REF!</v>
      </c>
      <c r="M30" t="e">
        <f>AND(#REF!,"AAAAAH+/1ww=")</f>
        <v>#REF!</v>
      </c>
      <c r="N30" t="e">
        <f>AND(#REF!,"AAAAAH+/1w0=")</f>
        <v>#REF!</v>
      </c>
      <c r="O30" t="e">
        <f>AND(#REF!,"AAAAAH+/1w4=")</f>
        <v>#REF!</v>
      </c>
      <c r="P30" t="e">
        <f>AND(#REF!,"AAAAAH+/1w8=")</f>
        <v>#REF!</v>
      </c>
      <c r="Q30" t="e">
        <f>AND(#REF!,"AAAAAH+/1xA=")</f>
        <v>#REF!</v>
      </c>
      <c r="R30" t="e">
        <f>AND(#REF!,"AAAAAH+/1xE=")</f>
        <v>#REF!</v>
      </c>
      <c r="S30" t="e">
        <f>IF(#REF!,"AAAAAH+/1xI=",0)</f>
        <v>#REF!</v>
      </c>
      <c r="T30" t="e">
        <f>AND(#REF!,"AAAAAH+/1xM=")</f>
        <v>#REF!</v>
      </c>
      <c r="U30" t="e">
        <f>AND(#REF!,"AAAAAH+/1xQ=")</f>
        <v>#REF!</v>
      </c>
      <c r="V30" t="e">
        <f>AND(#REF!,"AAAAAH+/1xU=")</f>
        <v>#REF!</v>
      </c>
      <c r="W30" t="e">
        <f>AND(#REF!,"AAAAAH+/1xY=")</f>
        <v>#REF!</v>
      </c>
      <c r="X30" t="e">
        <f>AND(#REF!,"AAAAAH+/1xc=")</f>
        <v>#REF!</v>
      </c>
      <c r="Y30" t="e">
        <f>AND(#REF!,"AAAAAH+/1xg=")</f>
        <v>#REF!</v>
      </c>
      <c r="Z30" t="e">
        <f>AND(#REF!,"AAAAAH+/1xk=")</f>
        <v>#REF!</v>
      </c>
      <c r="AA30" t="e">
        <f>AND(#REF!,"AAAAAH+/1xo=")</f>
        <v>#REF!</v>
      </c>
      <c r="AB30" t="e">
        <f>AND(#REF!,"AAAAAH+/1xs=")</f>
        <v>#REF!</v>
      </c>
      <c r="AC30" t="e">
        <f>IF(#REF!,"AAAAAH+/1xw=",0)</f>
        <v>#REF!</v>
      </c>
      <c r="AD30" t="e">
        <f>AND(#REF!,"AAAAAH+/1x0=")</f>
        <v>#REF!</v>
      </c>
      <c r="AE30" t="e">
        <f>AND(#REF!,"AAAAAH+/1x4=")</f>
        <v>#REF!</v>
      </c>
      <c r="AF30" t="e">
        <f>AND(#REF!,"AAAAAH+/1x8=")</f>
        <v>#REF!</v>
      </c>
      <c r="AG30" t="e">
        <f>AND(#REF!,"AAAAAH+/1yA=")</f>
        <v>#REF!</v>
      </c>
      <c r="AH30" t="e">
        <f>AND(#REF!,"AAAAAH+/1yE=")</f>
        <v>#REF!</v>
      </c>
      <c r="AI30" t="e">
        <f>AND(#REF!,"AAAAAH+/1yI=")</f>
        <v>#REF!</v>
      </c>
      <c r="AJ30" t="e">
        <f>AND(#REF!,"AAAAAH+/1yM=")</f>
        <v>#REF!</v>
      </c>
      <c r="AK30" t="e">
        <f>AND(#REF!,"AAAAAH+/1yQ=")</f>
        <v>#REF!</v>
      </c>
      <c r="AL30" t="e">
        <f>AND(#REF!,"AAAAAH+/1yU=")</f>
        <v>#REF!</v>
      </c>
      <c r="AM30" t="e">
        <f>IF(#REF!,"AAAAAH+/1yY=",0)</f>
        <v>#REF!</v>
      </c>
      <c r="AN30" t="e">
        <f>AND(#REF!,"AAAAAH+/1yc=")</f>
        <v>#REF!</v>
      </c>
      <c r="AO30" t="e">
        <f>AND(#REF!,"AAAAAH+/1yg=")</f>
        <v>#REF!</v>
      </c>
      <c r="AP30" t="e">
        <f>AND(#REF!,"AAAAAH+/1yk=")</f>
        <v>#REF!</v>
      </c>
      <c r="AQ30" t="e">
        <f>AND(#REF!,"AAAAAH+/1yo=")</f>
        <v>#REF!</v>
      </c>
      <c r="AR30" t="e">
        <f>AND(#REF!,"AAAAAH+/1ys=")</f>
        <v>#REF!</v>
      </c>
      <c r="AS30" t="e">
        <f>AND(#REF!,"AAAAAH+/1yw=")</f>
        <v>#REF!</v>
      </c>
      <c r="AT30" t="e">
        <f>AND(#REF!,"AAAAAH+/1y0=")</f>
        <v>#REF!</v>
      </c>
      <c r="AU30" t="e">
        <f>AND(#REF!,"AAAAAH+/1y4=")</f>
        <v>#REF!</v>
      </c>
      <c r="AV30" t="e">
        <f>AND(#REF!,"AAAAAH+/1y8=")</f>
        <v>#REF!</v>
      </c>
      <c r="AW30" t="e">
        <f>IF(#REF!,"AAAAAH+/1zA=",0)</f>
        <v>#REF!</v>
      </c>
      <c r="AX30" t="e">
        <f>AND(#REF!,"AAAAAH+/1zE=")</f>
        <v>#REF!</v>
      </c>
      <c r="AY30" t="e">
        <f>AND(#REF!,"AAAAAH+/1zI=")</f>
        <v>#REF!</v>
      </c>
      <c r="AZ30" t="e">
        <f>AND(#REF!,"AAAAAH+/1zM=")</f>
        <v>#REF!</v>
      </c>
      <c r="BA30" t="e">
        <f>AND(#REF!,"AAAAAH+/1zQ=")</f>
        <v>#REF!</v>
      </c>
      <c r="BB30" t="e">
        <f>AND(#REF!,"AAAAAH+/1zU=")</f>
        <v>#REF!</v>
      </c>
      <c r="BC30" t="e">
        <f>AND(#REF!,"AAAAAH+/1zY=")</f>
        <v>#REF!</v>
      </c>
      <c r="BD30" t="e">
        <f>AND(#REF!,"AAAAAH+/1zc=")</f>
        <v>#REF!</v>
      </c>
      <c r="BE30" t="e">
        <f>AND(#REF!,"AAAAAH+/1zg=")</f>
        <v>#REF!</v>
      </c>
      <c r="BF30" t="e">
        <f>AND(#REF!,"AAAAAH+/1zk=")</f>
        <v>#REF!</v>
      </c>
      <c r="BG30" t="e">
        <f>IF(#REF!,"AAAAAH+/1zo=",0)</f>
        <v>#REF!</v>
      </c>
      <c r="BH30" t="e">
        <f>AND(#REF!,"AAAAAH+/1zs=")</f>
        <v>#REF!</v>
      </c>
      <c r="BI30" t="e">
        <f>AND(#REF!,"AAAAAH+/1zw=")</f>
        <v>#REF!</v>
      </c>
      <c r="BJ30" t="e">
        <f>AND(#REF!,"AAAAAH+/1z0=")</f>
        <v>#REF!</v>
      </c>
      <c r="BK30" t="e">
        <f>AND(#REF!,"AAAAAH+/1z4=")</f>
        <v>#REF!</v>
      </c>
      <c r="BL30" t="e">
        <f>AND(#REF!,"AAAAAH+/1z8=")</f>
        <v>#REF!</v>
      </c>
      <c r="BM30" t="e">
        <f>AND(#REF!,"AAAAAH+/10A=")</f>
        <v>#REF!</v>
      </c>
      <c r="BN30" t="e">
        <f>AND(#REF!,"AAAAAH+/10E=")</f>
        <v>#REF!</v>
      </c>
      <c r="BO30" t="e">
        <f>AND(#REF!,"AAAAAH+/10I=")</f>
        <v>#REF!</v>
      </c>
      <c r="BP30" t="e">
        <f>AND(#REF!,"AAAAAH+/10M=")</f>
        <v>#REF!</v>
      </c>
      <c r="BQ30" t="e">
        <f>IF(#REF!,"AAAAAH+/10Q=",0)</f>
        <v>#REF!</v>
      </c>
      <c r="BR30" t="e">
        <f>AND(#REF!,"AAAAAH+/10U=")</f>
        <v>#REF!</v>
      </c>
      <c r="BS30" t="e">
        <f>AND(#REF!,"AAAAAH+/10Y=")</f>
        <v>#REF!</v>
      </c>
      <c r="BT30" t="e">
        <f>AND(#REF!,"AAAAAH+/10c=")</f>
        <v>#REF!</v>
      </c>
      <c r="BU30" t="e">
        <f>AND(#REF!,"AAAAAH+/10g=")</f>
        <v>#REF!</v>
      </c>
      <c r="BV30" t="e">
        <f>AND(#REF!,"AAAAAH+/10k=")</f>
        <v>#REF!</v>
      </c>
      <c r="BW30" t="e">
        <f>AND(#REF!,"AAAAAH+/10o=")</f>
        <v>#REF!</v>
      </c>
      <c r="BX30" t="e">
        <f>AND(#REF!,"AAAAAH+/10s=")</f>
        <v>#REF!</v>
      </c>
      <c r="BY30" t="e">
        <f>AND(#REF!,"AAAAAH+/10w=")</f>
        <v>#REF!</v>
      </c>
      <c r="BZ30" t="e">
        <f>AND(#REF!,"AAAAAH+/100=")</f>
        <v>#REF!</v>
      </c>
      <c r="CA30" t="e">
        <f>IF(#REF!,"AAAAAH+/104=",0)</f>
        <v>#REF!</v>
      </c>
      <c r="CB30" t="e">
        <f>AND(#REF!,"AAAAAH+/108=")</f>
        <v>#REF!</v>
      </c>
      <c r="CC30" t="e">
        <f>AND(#REF!,"AAAAAH+/11A=")</f>
        <v>#REF!</v>
      </c>
      <c r="CD30" t="e">
        <f>AND(#REF!,"AAAAAH+/11E=")</f>
        <v>#REF!</v>
      </c>
      <c r="CE30" t="e">
        <f>AND(#REF!,"AAAAAH+/11I=")</f>
        <v>#REF!</v>
      </c>
      <c r="CF30" t="e">
        <f>AND(#REF!,"AAAAAH+/11M=")</f>
        <v>#REF!</v>
      </c>
      <c r="CG30" t="e">
        <f>AND(#REF!,"AAAAAH+/11Q=")</f>
        <v>#REF!</v>
      </c>
      <c r="CH30" t="e">
        <f>AND(#REF!,"AAAAAH+/11U=")</f>
        <v>#REF!</v>
      </c>
      <c r="CI30" t="e">
        <f>AND(#REF!,"AAAAAH+/11Y=")</f>
        <v>#REF!</v>
      </c>
      <c r="CJ30" t="e">
        <f>AND(#REF!,"AAAAAH+/11c=")</f>
        <v>#REF!</v>
      </c>
      <c r="CK30" t="e">
        <f>IF(#REF!,"AAAAAH+/11g=",0)</f>
        <v>#REF!</v>
      </c>
      <c r="CL30" t="e">
        <f>AND(#REF!,"AAAAAH+/11k=")</f>
        <v>#REF!</v>
      </c>
      <c r="CM30" t="e">
        <f>AND(#REF!,"AAAAAH+/11o=")</f>
        <v>#REF!</v>
      </c>
      <c r="CN30" t="e">
        <f>AND(#REF!,"AAAAAH+/11s=")</f>
        <v>#REF!</v>
      </c>
      <c r="CO30" t="e">
        <f>AND(#REF!,"AAAAAH+/11w=")</f>
        <v>#REF!</v>
      </c>
      <c r="CP30" t="e">
        <f>AND(#REF!,"AAAAAH+/110=")</f>
        <v>#REF!</v>
      </c>
      <c r="CQ30" t="e">
        <f>AND(#REF!,"AAAAAH+/114=")</f>
        <v>#REF!</v>
      </c>
      <c r="CR30" t="e">
        <f>AND(#REF!,"AAAAAH+/118=")</f>
        <v>#REF!</v>
      </c>
      <c r="CS30" t="e">
        <f>AND(#REF!,"AAAAAH+/12A=")</f>
        <v>#REF!</v>
      </c>
      <c r="CT30" t="e">
        <f>AND(#REF!,"AAAAAH+/12E=")</f>
        <v>#REF!</v>
      </c>
      <c r="CU30" t="e">
        <f>IF(#REF!,"AAAAAH+/12I=",0)</f>
        <v>#REF!</v>
      </c>
      <c r="CV30" t="e">
        <f>AND(#REF!,"AAAAAH+/12M=")</f>
        <v>#REF!</v>
      </c>
      <c r="CW30" t="e">
        <f>AND(#REF!,"AAAAAH+/12Q=")</f>
        <v>#REF!</v>
      </c>
      <c r="CX30" t="e">
        <f>AND(#REF!,"AAAAAH+/12U=")</f>
        <v>#REF!</v>
      </c>
      <c r="CY30" t="e">
        <f>AND(#REF!,"AAAAAH+/12Y=")</f>
        <v>#REF!</v>
      </c>
      <c r="CZ30" t="e">
        <f>AND(#REF!,"AAAAAH+/12c=")</f>
        <v>#REF!</v>
      </c>
      <c r="DA30" t="e">
        <f>AND(#REF!,"AAAAAH+/12g=")</f>
        <v>#REF!</v>
      </c>
      <c r="DB30" t="e">
        <f>AND(#REF!,"AAAAAH+/12k=")</f>
        <v>#REF!</v>
      </c>
      <c r="DC30" t="e">
        <f>AND(#REF!,"AAAAAH+/12o=")</f>
        <v>#REF!</v>
      </c>
      <c r="DD30" t="e">
        <f>AND(#REF!,"AAAAAH+/12s=")</f>
        <v>#REF!</v>
      </c>
      <c r="DE30" t="e">
        <f>IF(#REF!,"AAAAAH+/12w=",0)</f>
        <v>#REF!</v>
      </c>
      <c r="DF30" t="e">
        <f>AND(#REF!,"AAAAAH+/120=")</f>
        <v>#REF!</v>
      </c>
      <c r="DG30" t="e">
        <f>AND(#REF!,"AAAAAH+/124=")</f>
        <v>#REF!</v>
      </c>
      <c r="DH30" t="e">
        <f>AND(#REF!,"AAAAAH+/128=")</f>
        <v>#REF!</v>
      </c>
      <c r="DI30" t="e">
        <f>AND(#REF!,"AAAAAH+/13A=")</f>
        <v>#REF!</v>
      </c>
      <c r="DJ30" t="e">
        <f>AND(#REF!,"AAAAAH+/13E=")</f>
        <v>#REF!</v>
      </c>
      <c r="DK30" t="e">
        <f>AND(#REF!,"AAAAAH+/13I=")</f>
        <v>#REF!</v>
      </c>
      <c r="DL30" t="e">
        <f>AND(#REF!,"AAAAAH+/13M=")</f>
        <v>#REF!</v>
      </c>
      <c r="DM30" t="e">
        <f>AND(#REF!,"AAAAAH+/13Q=")</f>
        <v>#REF!</v>
      </c>
      <c r="DN30" t="e">
        <f>AND(#REF!,"AAAAAH+/13U=")</f>
        <v>#REF!</v>
      </c>
      <c r="DO30" t="e">
        <f>IF(#REF!,"AAAAAH+/13Y=",0)</f>
        <v>#REF!</v>
      </c>
      <c r="DP30" t="e">
        <f>AND(#REF!,"AAAAAH+/13c=")</f>
        <v>#REF!</v>
      </c>
      <c r="DQ30" t="e">
        <f>AND(#REF!,"AAAAAH+/13g=")</f>
        <v>#REF!</v>
      </c>
      <c r="DR30" t="e">
        <f>AND(#REF!,"AAAAAH+/13k=")</f>
        <v>#REF!</v>
      </c>
      <c r="DS30" t="e">
        <f>AND(#REF!,"AAAAAH+/13o=")</f>
        <v>#REF!</v>
      </c>
      <c r="DT30" t="e">
        <f>AND(#REF!,"AAAAAH+/13s=")</f>
        <v>#REF!</v>
      </c>
      <c r="DU30" t="e">
        <f>AND(#REF!,"AAAAAH+/13w=")</f>
        <v>#REF!</v>
      </c>
      <c r="DV30" t="e">
        <f>AND(#REF!,"AAAAAH+/130=")</f>
        <v>#REF!</v>
      </c>
      <c r="DW30" t="e">
        <f>AND(#REF!,"AAAAAH+/134=")</f>
        <v>#REF!</v>
      </c>
      <c r="DX30" t="e">
        <f>AND(#REF!,"AAAAAH+/138=")</f>
        <v>#REF!</v>
      </c>
      <c r="DY30" t="e">
        <f>IF(#REF!,"AAAAAH+/14A=",0)</f>
        <v>#REF!</v>
      </c>
      <c r="DZ30" t="e">
        <f>AND(#REF!,"AAAAAH+/14E=")</f>
        <v>#REF!</v>
      </c>
      <c r="EA30" t="e">
        <f>AND(#REF!,"AAAAAH+/14I=")</f>
        <v>#REF!</v>
      </c>
      <c r="EB30" t="e">
        <f>AND(#REF!,"AAAAAH+/14M=")</f>
        <v>#REF!</v>
      </c>
      <c r="EC30" t="e">
        <f>AND(#REF!,"AAAAAH+/14Q=")</f>
        <v>#REF!</v>
      </c>
      <c r="ED30" t="e">
        <f>AND(#REF!,"AAAAAH+/14U=")</f>
        <v>#REF!</v>
      </c>
      <c r="EE30" t="e">
        <f>AND(#REF!,"AAAAAH+/14Y=")</f>
        <v>#REF!</v>
      </c>
      <c r="EF30" t="e">
        <f>AND(#REF!,"AAAAAH+/14c=")</f>
        <v>#REF!</v>
      </c>
      <c r="EG30" t="e">
        <f>AND(#REF!,"AAAAAH+/14g=")</f>
        <v>#REF!</v>
      </c>
      <c r="EH30" t="e">
        <f>AND(#REF!,"AAAAAH+/14k=")</f>
        <v>#REF!</v>
      </c>
      <c r="EI30" t="e">
        <f>IF(#REF!,"AAAAAH+/14o=",0)</f>
        <v>#REF!</v>
      </c>
      <c r="EJ30" t="e">
        <f>AND(#REF!,"AAAAAH+/14s=")</f>
        <v>#REF!</v>
      </c>
      <c r="EK30" t="e">
        <f>AND(#REF!,"AAAAAH+/14w=")</f>
        <v>#REF!</v>
      </c>
      <c r="EL30" t="e">
        <f>AND(#REF!,"AAAAAH+/140=")</f>
        <v>#REF!</v>
      </c>
      <c r="EM30" t="e">
        <f>AND(#REF!,"AAAAAH+/144=")</f>
        <v>#REF!</v>
      </c>
      <c r="EN30" t="e">
        <f>AND(#REF!,"AAAAAH+/148=")</f>
        <v>#REF!</v>
      </c>
      <c r="EO30" t="e">
        <f>AND(#REF!,"AAAAAH+/15A=")</f>
        <v>#REF!</v>
      </c>
      <c r="EP30" t="e">
        <f>AND(#REF!,"AAAAAH+/15E=")</f>
        <v>#REF!</v>
      </c>
      <c r="EQ30" t="e">
        <f>AND(#REF!,"AAAAAH+/15I=")</f>
        <v>#REF!</v>
      </c>
      <c r="ER30" t="e">
        <f>AND(#REF!,"AAAAAH+/15M=")</f>
        <v>#REF!</v>
      </c>
      <c r="ES30" t="e">
        <f>IF(#REF!,"AAAAAH+/15Q=",0)</f>
        <v>#REF!</v>
      </c>
      <c r="ET30" t="e">
        <f>AND(#REF!,"AAAAAH+/15U=")</f>
        <v>#REF!</v>
      </c>
      <c r="EU30" t="e">
        <f>AND(#REF!,"AAAAAH+/15Y=")</f>
        <v>#REF!</v>
      </c>
      <c r="EV30" t="e">
        <f>AND(#REF!,"AAAAAH+/15c=")</f>
        <v>#REF!</v>
      </c>
      <c r="EW30" t="e">
        <f>AND(#REF!,"AAAAAH+/15g=")</f>
        <v>#REF!</v>
      </c>
      <c r="EX30" t="e">
        <f>AND(#REF!,"AAAAAH+/15k=")</f>
        <v>#REF!</v>
      </c>
      <c r="EY30" t="e">
        <f>AND(#REF!,"AAAAAH+/15o=")</f>
        <v>#REF!</v>
      </c>
      <c r="EZ30" t="e">
        <f>AND(#REF!,"AAAAAH+/15s=")</f>
        <v>#REF!</v>
      </c>
      <c r="FA30" t="e">
        <f>AND(#REF!,"AAAAAH+/15w=")</f>
        <v>#REF!</v>
      </c>
      <c r="FB30" t="e">
        <f>AND(#REF!,"AAAAAH+/150=")</f>
        <v>#REF!</v>
      </c>
      <c r="FC30" t="e">
        <f>IF(#REF!,"AAAAAH+/154=",0)</f>
        <v>#REF!</v>
      </c>
      <c r="FD30" t="e">
        <f>AND(#REF!,"AAAAAH+/158=")</f>
        <v>#REF!</v>
      </c>
      <c r="FE30" t="e">
        <f>AND(#REF!,"AAAAAH+/16A=")</f>
        <v>#REF!</v>
      </c>
      <c r="FF30" t="e">
        <f>AND(#REF!,"AAAAAH+/16E=")</f>
        <v>#REF!</v>
      </c>
      <c r="FG30" t="e">
        <f>AND(#REF!,"AAAAAH+/16I=")</f>
        <v>#REF!</v>
      </c>
      <c r="FH30" t="e">
        <f>AND(#REF!,"AAAAAH+/16M=")</f>
        <v>#REF!</v>
      </c>
      <c r="FI30" t="e">
        <f>AND(#REF!,"AAAAAH+/16Q=")</f>
        <v>#REF!</v>
      </c>
      <c r="FJ30" t="e">
        <f>AND(#REF!,"AAAAAH+/16U=")</f>
        <v>#REF!</v>
      </c>
      <c r="FK30" t="e">
        <f>AND(#REF!,"AAAAAH+/16Y=")</f>
        <v>#REF!</v>
      </c>
      <c r="FL30" t="e">
        <f>AND(#REF!,"AAAAAH+/16c=")</f>
        <v>#REF!</v>
      </c>
      <c r="FM30" t="e">
        <f>IF(#REF!,"AAAAAH+/16g=",0)</f>
        <v>#REF!</v>
      </c>
      <c r="FN30" t="e">
        <f>AND(#REF!,"AAAAAH+/16k=")</f>
        <v>#REF!</v>
      </c>
      <c r="FO30" t="e">
        <f>AND(#REF!,"AAAAAH+/16o=")</f>
        <v>#REF!</v>
      </c>
      <c r="FP30" t="e">
        <f>AND(#REF!,"AAAAAH+/16s=")</f>
        <v>#REF!</v>
      </c>
      <c r="FQ30" t="e">
        <f>AND(#REF!,"AAAAAH+/16w=")</f>
        <v>#REF!</v>
      </c>
      <c r="FR30" t="e">
        <f>AND(#REF!,"AAAAAH+/160=")</f>
        <v>#REF!</v>
      </c>
      <c r="FS30" t="e">
        <f>AND(#REF!,"AAAAAH+/164=")</f>
        <v>#REF!</v>
      </c>
      <c r="FT30" t="e">
        <f>AND(#REF!,"AAAAAH+/168=")</f>
        <v>#REF!</v>
      </c>
      <c r="FU30" t="e">
        <f>AND(#REF!,"AAAAAH+/17A=")</f>
        <v>#REF!</v>
      </c>
      <c r="FV30" t="e">
        <f>AND(#REF!,"AAAAAH+/17E=")</f>
        <v>#REF!</v>
      </c>
      <c r="FW30" t="e">
        <f>IF(#REF!,"AAAAAH+/17I=",0)</f>
        <v>#REF!</v>
      </c>
      <c r="FX30" t="e">
        <f>AND(#REF!,"AAAAAH+/17M=")</f>
        <v>#REF!</v>
      </c>
      <c r="FY30" t="e">
        <f>AND(#REF!,"AAAAAH+/17Q=")</f>
        <v>#REF!</v>
      </c>
      <c r="FZ30" t="e">
        <f>AND(#REF!,"AAAAAH+/17U=")</f>
        <v>#REF!</v>
      </c>
      <c r="GA30" t="e">
        <f>AND(#REF!,"AAAAAH+/17Y=")</f>
        <v>#REF!</v>
      </c>
      <c r="GB30" t="e">
        <f>AND(#REF!,"AAAAAH+/17c=")</f>
        <v>#REF!</v>
      </c>
      <c r="GC30" t="e">
        <f>AND(#REF!,"AAAAAH+/17g=")</f>
        <v>#REF!</v>
      </c>
      <c r="GD30" t="e">
        <f>AND(#REF!,"AAAAAH+/17k=")</f>
        <v>#REF!</v>
      </c>
      <c r="GE30" t="e">
        <f>AND(#REF!,"AAAAAH+/17o=")</f>
        <v>#REF!</v>
      </c>
      <c r="GF30" t="e">
        <f>AND(#REF!,"AAAAAH+/17s=")</f>
        <v>#REF!</v>
      </c>
      <c r="GG30" t="e">
        <f>IF(#REF!,"AAAAAH+/17w=",0)</f>
        <v>#REF!</v>
      </c>
      <c r="GH30" t="e">
        <f>AND(#REF!,"AAAAAH+/170=")</f>
        <v>#REF!</v>
      </c>
      <c r="GI30" t="e">
        <f>AND(#REF!,"AAAAAH+/174=")</f>
        <v>#REF!</v>
      </c>
      <c r="GJ30" t="e">
        <f>AND(#REF!,"AAAAAH+/178=")</f>
        <v>#REF!</v>
      </c>
      <c r="GK30" t="e">
        <f>AND(#REF!,"AAAAAH+/18A=")</f>
        <v>#REF!</v>
      </c>
      <c r="GL30" t="e">
        <f>AND(#REF!,"AAAAAH+/18E=")</f>
        <v>#REF!</v>
      </c>
      <c r="GM30" t="e">
        <f>AND(#REF!,"AAAAAH+/18I=")</f>
        <v>#REF!</v>
      </c>
      <c r="GN30" t="e">
        <f>AND(#REF!,"AAAAAH+/18M=")</f>
        <v>#REF!</v>
      </c>
      <c r="GO30" t="e">
        <f>AND(#REF!,"AAAAAH+/18Q=")</f>
        <v>#REF!</v>
      </c>
      <c r="GP30" t="e">
        <f>AND(#REF!,"AAAAAH+/18U=")</f>
        <v>#REF!</v>
      </c>
      <c r="GQ30" t="e">
        <f>IF(#REF!,"AAAAAH+/18Y=",0)</f>
        <v>#REF!</v>
      </c>
      <c r="GR30" t="e">
        <f>AND(#REF!,"AAAAAH+/18c=")</f>
        <v>#REF!</v>
      </c>
      <c r="GS30" t="e">
        <f>AND(#REF!,"AAAAAH+/18g=")</f>
        <v>#REF!</v>
      </c>
      <c r="GT30" t="e">
        <f>AND(#REF!,"AAAAAH+/18k=")</f>
        <v>#REF!</v>
      </c>
      <c r="GU30" t="e">
        <f>AND(#REF!,"AAAAAH+/18o=")</f>
        <v>#REF!</v>
      </c>
      <c r="GV30" t="e">
        <f>AND(#REF!,"AAAAAH+/18s=")</f>
        <v>#REF!</v>
      </c>
      <c r="GW30" t="e">
        <f>AND(#REF!,"AAAAAH+/18w=")</f>
        <v>#REF!</v>
      </c>
      <c r="GX30" t="e">
        <f>AND(#REF!,"AAAAAH+/180=")</f>
        <v>#REF!</v>
      </c>
      <c r="GY30" t="e">
        <f>AND(#REF!,"AAAAAH+/184=")</f>
        <v>#REF!</v>
      </c>
      <c r="GZ30" t="e">
        <f>AND(#REF!,"AAAAAH+/188=")</f>
        <v>#REF!</v>
      </c>
      <c r="HA30" t="e">
        <f>IF(#REF!,"AAAAAH+/19A=",0)</f>
        <v>#REF!</v>
      </c>
      <c r="HB30" t="e">
        <f>AND(#REF!,"AAAAAH+/19E=")</f>
        <v>#REF!</v>
      </c>
      <c r="HC30" t="e">
        <f>AND(#REF!,"AAAAAH+/19I=")</f>
        <v>#REF!</v>
      </c>
      <c r="HD30" t="e">
        <f>AND(#REF!,"AAAAAH+/19M=")</f>
        <v>#REF!</v>
      </c>
      <c r="HE30" t="e">
        <f>AND(#REF!,"AAAAAH+/19Q=")</f>
        <v>#REF!</v>
      </c>
      <c r="HF30" t="e">
        <f>AND(#REF!,"AAAAAH+/19U=")</f>
        <v>#REF!</v>
      </c>
      <c r="HG30" t="e">
        <f>AND(#REF!,"AAAAAH+/19Y=")</f>
        <v>#REF!</v>
      </c>
      <c r="HH30" t="e">
        <f>AND(#REF!,"AAAAAH+/19c=")</f>
        <v>#REF!</v>
      </c>
      <c r="HI30" t="e">
        <f>AND(#REF!,"AAAAAH+/19g=")</f>
        <v>#REF!</v>
      </c>
      <c r="HJ30" t="e">
        <f>AND(#REF!,"AAAAAH+/19k=")</f>
        <v>#REF!</v>
      </c>
      <c r="HK30" t="e">
        <f>IF(#REF!,"AAAAAH+/19o=",0)</f>
        <v>#REF!</v>
      </c>
      <c r="HL30" t="e">
        <f>AND(#REF!,"AAAAAH+/19s=")</f>
        <v>#REF!</v>
      </c>
      <c r="HM30" t="e">
        <f>AND(#REF!,"AAAAAH+/19w=")</f>
        <v>#REF!</v>
      </c>
      <c r="HN30" t="e">
        <f>AND(#REF!,"AAAAAH+/190=")</f>
        <v>#REF!</v>
      </c>
      <c r="HO30" t="e">
        <f>AND(#REF!,"AAAAAH+/194=")</f>
        <v>#REF!</v>
      </c>
      <c r="HP30" t="e">
        <f>AND(#REF!,"AAAAAH+/198=")</f>
        <v>#REF!</v>
      </c>
      <c r="HQ30" t="e">
        <f>AND(#REF!,"AAAAAH+/1+A=")</f>
        <v>#REF!</v>
      </c>
      <c r="HR30" t="e">
        <f>AND(#REF!,"AAAAAH+/1+E=")</f>
        <v>#REF!</v>
      </c>
      <c r="HS30" t="e">
        <f>AND(#REF!,"AAAAAH+/1+I=")</f>
        <v>#REF!</v>
      </c>
      <c r="HT30" t="e">
        <f>AND(#REF!,"AAAAAH+/1+M=")</f>
        <v>#REF!</v>
      </c>
      <c r="HU30" t="e">
        <f>IF(#REF!,"AAAAAH+/1+Q=",0)</f>
        <v>#REF!</v>
      </c>
      <c r="HV30" t="e">
        <f>AND(#REF!,"AAAAAH+/1+U=")</f>
        <v>#REF!</v>
      </c>
      <c r="HW30" t="e">
        <f>AND(#REF!,"AAAAAH+/1+Y=")</f>
        <v>#REF!</v>
      </c>
      <c r="HX30" t="e">
        <f>AND(#REF!,"AAAAAH+/1+c=")</f>
        <v>#REF!</v>
      </c>
      <c r="HY30" t="e">
        <f>AND(#REF!,"AAAAAH+/1+g=")</f>
        <v>#REF!</v>
      </c>
      <c r="HZ30" t="e">
        <f>AND(#REF!,"AAAAAH+/1+k=")</f>
        <v>#REF!</v>
      </c>
      <c r="IA30" t="e">
        <f>AND(#REF!,"AAAAAH+/1+o=")</f>
        <v>#REF!</v>
      </c>
      <c r="IB30" t="e">
        <f>AND(#REF!,"AAAAAH+/1+s=")</f>
        <v>#REF!</v>
      </c>
      <c r="IC30" t="e">
        <f>AND(#REF!,"AAAAAH+/1+w=")</f>
        <v>#REF!</v>
      </c>
      <c r="ID30" t="e">
        <f>AND(#REF!,"AAAAAH+/1+0=")</f>
        <v>#REF!</v>
      </c>
      <c r="IE30" t="e">
        <f>IF(#REF!,"AAAAAH+/1+4=",0)</f>
        <v>#REF!</v>
      </c>
      <c r="IF30" t="e">
        <f>AND(#REF!,"AAAAAH+/1+8=")</f>
        <v>#REF!</v>
      </c>
      <c r="IG30" t="e">
        <f>AND(#REF!,"AAAAAH+/1/A=")</f>
        <v>#REF!</v>
      </c>
      <c r="IH30" t="e">
        <f>AND(#REF!,"AAAAAH+/1/E=")</f>
        <v>#REF!</v>
      </c>
      <c r="II30" t="e">
        <f>AND(#REF!,"AAAAAH+/1/I=")</f>
        <v>#REF!</v>
      </c>
      <c r="IJ30" t="e">
        <f>AND(#REF!,"AAAAAH+/1/M=")</f>
        <v>#REF!</v>
      </c>
      <c r="IK30" t="e">
        <f>AND(#REF!,"AAAAAH+/1/Q=")</f>
        <v>#REF!</v>
      </c>
      <c r="IL30" t="e">
        <f>AND(#REF!,"AAAAAH+/1/U=")</f>
        <v>#REF!</v>
      </c>
      <c r="IM30" t="e">
        <f>AND(#REF!,"AAAAAH+/1/Y=")</f>
        <v>#REF!</v>
      </c>
      <c r="IN30" t="e">
        <f>AND(#REF!,"AAAAAH+/1/c=")</f>
        <v>#REF!</v>
      </c>
      <c r="IO30" t="e">
        <f>IF(#REF!,"AAAAAH+/1/g=",0)</f>
        <v>#REF!</v>
      </c>
      <c r="IP30" t="e">
        <f>AND(#REF!,"AAAAAH+/1/k=")</f>
        <v>#REF!</v>
      </c>
      <c r="IQ30" t="e">
        <f>AND(#REF!,"AAAAAH+/1/o=")</f>
        <v>#REF!</v>
      </c>
      <c r="IR30" t="e">
        <f>AND(#REF!,"AAAAAH+/1/s=")</f>
        <v>#REF!</v>
      </c>
      <c r="IS30" t="e">
        <f>AND(#REF!,"AAAAAH+/1/w=")</f>
        <v>#REF!</v>
      </c>
      <c r="IT30" t="e">
        <f>AND(#REF!,"AAAAAH+/1/0=")</f>
        <v>#REF!</v>
      </c>
      <c r="IU30" t="e">
        <f>AND(#REF!,"AAAAAH+/1/4=")</f>
        <v>#REF!</v>
      </c>
      <c r="IV30" t="e">
        <f>AND(#REF!,"AAAAAH+/1/8=")</f>
        <v>#REF!</v>
      </c>
    </row>
    <row r="31" spans="1:256" ht="15">
      <c r="A31" t="e">
        <f>AND(#REF!,"AAAAAH39/wA=")</f>
        <v>#REF!</v>
      </c>
      <c r="B31" t="e">
        <f>AND(#REF!,"AAAAAH39/wE=")</f>
        <v>#REF!</v>
      </c>
      <c r="C31" t="e">
        <f>IF(#REF!,"AAAAAH39/wI=",0)</f>
        <v>#REF!</v>
      </c>
      <c r="D31" t="e">
        <f>AND(#REF!,"AAAAAH39/wM=")</f>
        <v>#REF!</v>
      </c>
      <c r="E31" t="e">
        <f>AND(#REF!,"AAAAAH39/wQ=")</f>
        <v>#REF!</v>
      </c>
      <c r="F31" t="e">
        <f>AND(#REF!,"AAAAAH39/wU=")</f>
        <v>#REF!</v>
      </c>
      <c r="G31" t="e">
        <f>AND(#REF!,"AAAAAH39/wY=")</f>
        <v>#REF!</v>
      </c>
      <c r="H31" t="e">
        <f>AND(#REF!,"AAAAAH39/wc=")</f>
        <v>#REF!</v>
      </c>
      <c r="I31" t="e">
        <f>AND(#REF!,"AAAAAH39/wg=")</f>
        <v>#REF!</v>
      </c>
      <c r="J31" t="e">
        <f>AND(#REF!,"AAAAAH39/wk=")</f>
        <v>#REF!</v>
      </c>
      <c r="K31" t="e">
        <f>AND(#REF!,"AAAAAH39/wo=")</f>
        <v>#REF!</v>
      </c>
      <c r="L31" t="e">
        <f>AND(#REF!,"AAAAAH39/ws=")</f>
        <v>#REF!</v>
      </c>
      <c r="M31" t="e">
        <f>IF(#REF!,"AAAAAH39/ww=",0)</f>
        <v>#REF!</v>
      </c>
      <c r="N31" t="e">
        <f>IF(#REF!,"AAAAAH39/w0=",0)</f>
        <v>#REF!</v>
      </c>
      <c r="O31" t="e">
        <f>IF(#REF!,"AAAAAH39/w4=",0)</f>
        <v>#REF!</v>
      </c>
      <c r="P31" t="e">
        <f>IF(#REF!,"AAAAAH39/w8=",0)</f>
        <v>#REF!</v>
      </c>
      <c r="Q31" t="e">
        <f>IF(#REF!,"AAAAAH39/xA=",0)</f>
        <v>#REF!</v>
      </c>
      <c r="R31" t="e">
        <f>IF(#REF!,"AAAAAH39/xE=",0)</f>
        <v>#REF!</v>
      </c>
      <c r="S31" t="e">
        <f>IF(#REF!,"AAAAAH39/xI=",0)</f>
        <v>#REF!</v>
      </c>
      <c r="T31" t="e">
        <f>IF(#REF!,"AAAAAH39/xM=",0)</f>
        <v>#REF!</v>
      </c>
      <c r="U31" t="e">
        <f>IF(#REF!,"AAAAAH39/xQ=",0)</f>
        <v>#REF!</v>
      </c>
      <c r="V31" t="e">
        <f>IF(#REF!,"AAAAAH39/xU=",0)</f>
        <v>#REF!</v>
      </c>
      <c r="W31" t="e">
        <f>IF(#REF!,"AAAAAH39/xY=",0)</f>
        <v>#REF!</v>
      </c>
      <c r="X31" t="e">
        <f>IF(#REF!,"AAAAAH39/xc=",0)</f>
        <v>#REF!</v>
      </c>
      <c r="Y31" t="e">
        <f>IF(#REF!,"AAAAAH39/xg=",0)</f>
        <v>#REF!</v>
      </c>
      <c r="Z31" t="e">
        <f>AND(#REF!,"AAAAAH39/xk=")</f>
        <v>#REF!</v>
      </c>
      <c r="AA31" t="e">
        <f>AND(#REF!,"AAAAAH39/xo=")</f>
        <v>#REF!</v>
      </c>
      <c r="AB31" t="e">
        <f>AND(#REF!,"AAAAAH39/xs=")</f>
        <v>#REF!</v>
      </c>
      <c r="AC31" t="e">
        <f>AND(#REF!,"AAAAAH39/xw=")</f>
        <v>#REF!</v>
      </c>
      <c r="AD31" t="e">
        <f>AND(#REF!,"AAAAAH39/x0=")</f>
        <v>#REF!</v>
      </c>
      <c r="AE31" t="e">
        <f>AND(#REF!,"AAAAAH39/x4=")</f>
        <v>#REF!</v>
      </c>
      <c r="AF31" t="e">
        <f>AND(#REF!,"AAAAAH39/x8=")</f>
        <v>#REF!</v>
      </c>
      <c r="AG31" t="e">
        <f>AND(#REF!,"AAAAAH39/yA=")</f>
        <v>#REF!</v>
      </c>
      <c r="AH31" t="e">
        <f>AND(#REF!,"AAAAAH39/yE=")</f>
        <v>#REF!</v>
      </c>
      <c r="AI31" t="e">
        <f>AND(#REF!,"AAAAAH39/yI=")</f>
        <v>#REF!</v>
      </c>
      <c r="AJ31" t="e">
        <f>AND(#REF!,"AAAAAH39/yM=")</f>
        <v>#REF!</v>
      </c>
      <c r="AK31" t="e">
        <f>IF(#REF!,"AAAAAH39/yQ=",0)</f>
        <v>#REF!</v>
      </c>
      <c r="AL31" t="e">
        <f>AND(#REF!,"AAAAAH39/yU=")</f>
        <v>#REF!</v>
      </c>
      <c r="AM31" t="e">
        <f>AND(#REF!,"AAAAAH39/yY=")</f>
        <v>#REF!</v>
      </c>
      <c r="AN31" t="e">
        <f>AND(#REF!,"AAAAAH39/yc=")</f>
        <v>#REF!</v>
      </c>
      <c r="AO31" t="e">
        <f>AND(#REF!,"AAAAAH39/yg=")</f>
        <v>#REF!</v>
      </c>
      <c r="AP31" t="e">
        <f>AND(#REF!,"AAAAAH39/yk=")</f>
        <v>#REF!</v>
      </c>
      <c r="AQ31" t="e">
        <f>AND(#REF!,"AAAAAH39/yo=")</f>
        <v>#REF!</v>
      </c>
      <c r="AR31" t="e">
        <f>AND(#REF!,"AAAAAH39/ys=")</f>
        <v>#REF!</v>
      </c>
      <c r="AS31" t="e">
        <f>AND(#REF!,"AAAAAH39/yw=")</f>
        <v>#REF!</v>
      </c>
      <c r="AT31" t="e">
        <f>AND(#REF!,"AAAAAH39/y0=")</f>
        <v>#REF!</v>
      </c>
      <c r="AU31" t="e">
        <f>AND(#REF!,"AAAAAH39/y4=")</f>
        <v>#REF!</v>
      </c>
      <c r="AV31" t="e">
        <f>AND(#REF!,"AAAAAH39/y8=")</f>
        <v>#REF!</v>
      </c>
      <c r="AW31" t="e">
        <f>IF(#REF!,"AAAAAH39/zA=",0)</f>
        <v>#REF!</v>
      </c>
      <c r="AX31" t="e">
        <f>AND(#REF!,"AAAAAH39/zE=")</f>
        <v>#REF!</v>
      </c>
      <c r="AY31" t="e">
        <f>AND(#REF!,"AAAAAH39/zI=")</f>
        <v>#REF!</v>
      </c>
      <c r="AZ31" t="e">
        <f>AND(#REF!,"AAAAAH39/zM=")</f>
        <v>#REF!</v>
      </c>
      <c r="BA31" t="e">
        <f>AND(#REF!,"AAAAAH39/zQ=")</f>
        <v>#REF!</v>
      </c>
      <c r="BB31" t="e">
        <f>AND(#REF!,"AAAAAH39/zU=")</f>
        <v>#REF!</v>
      </c>
      <c r="BC31" t="e">
        <f>AND(#REF!,"AAAAAH39/zY=")</f>
        <v>#REF!</v>
      </c>
      <c r="BD31" t="e">
        <f>AND(#REF!,"AAAAAH39/zc=")</f>
        <v>#REF!</v>
      </c>
      <c r="BE31" t="e">
        <f>AND(#REF!,"AAAAAH39/zg=")</f>
        <v>#REF!</v>
      </c>
      <c r="BF31" t="e">
        <f>AND(#REF!,"AAAAAH39/zk=")</f>
        <v>#REF!</v>
      </c>
      <c r="BG31" t="e">
        <f>AND(#REF!,"AAAAAH39/zo=")</f>
        <v>#REF!</v>
      </c>
      <c r="BH31" t="e">
        <f>AND(#REF!,"AAAAAH39/zs=")</f>
        <v>#REF!</v>
      </c>
      <c r="BI31" t="e">
        <f>IF(#REF!,"AAAAAH39/zw=",0)</f>
        <v>#REF!</v>
      </c>
      <c r="BJ31" t="e">
        <f>AND(#REF!,"AAAAAH39/z0=")</f>
        <v>#REF!</v>
      </c>
      <c r="BK31" t="e">
        <f>AND(#REF!,"AAAAAH39/z4=")</f>
        <v>#REF!</v>
      </c>
      <c r="BL31" t="e">
        <f>AND(#REF!,"AAAAAH39/z8=")</f>
        <v>#REF!</v>
      </c>
      <c r="BM31" t="e">
        <f>AND(#REF!,"AAAAAH39/0A=")</f>
        <v>#REF!</v>
      </c>
      <c r="BN31" t="e">
        <f>AND(#REF!,"AAAAAH39/0E=")</f>
        <v>#REF!</v>
      </c>
      <c r="BO31" t="e">
        <f>AND(#REF!,"AAAAAH39/0I=")</f>
        <v>#REF!</v>
      </c>
      <c r="BP31" t="e">
        <f>AND(#REF!,"AAAAAH39/0M=")</f>
        <v>#REF!</v>
      </c>
      <c r="BQ31" t="e">
        <f>AND(#REF!,"AAAAAH39/0Q=")</f>
        <v>#REF!</v>
      </c>
      <c r="BR31" t="e">
        <f>AND(#REF!,"AAAAAH39/0U=")</f>
        <v>#REF!</v>
      </c>
      <c r="BS31" t="e">
        <f>AND(#REF!,"AAAAAH39/0Y=")</f>
        <v>#REF!</v>
      </c>
      <c r="BT31" t="e">
        <f>AND(#REF!,"AAAAAH39/0c=")</f>
        <v>#REF!</v>
      </c>
      <c r="BU31" t="e">
        <f>IF(#REF!,"AAAAAH39/0g=",0)</f>
        <v>#REF!</v>
      </c>
      <c r="BV31" t="e">
        <f>AND(#REF!,"AAAAAH39/0k=")</f>
        <v>#REF!</v>
      </c>
      <c r="BW31" t="e">
        <f>AND(#REF!,"AAAAAH39/0o=")</f>
        <v>#REF!</v>
      </c>
      <c r="BX31" t="e">
        <f>AND(#REF!,"AAAAAH39/0s=")</f>
        <v>#REF!</v>
      </c>
      <c r="BY31" t="e">
        <f>AND(#REF!,"AAAAAH39/0w=")</f>
        <v>#REF!</v>
      </c>
      <c r="BZ31" t="e">
        <f>AND(#REF!,"AAAAAH39/00=")</f>
        <v>#REF!</v>
      </c>
      <c r="CA31" t="e">
        <f>AND(#REF!,"AAAAAH39/04=")</f>
        <v>#REF!</v>
      </c>
      <c r="CB31" t="e">
        <f>AND(#REF!,"AAAAAH39/08=")</f>
        <v>#REF!</v>
      </c>
      <c r="CC31" t="e">
        <f>AND(#REF!,"AAAAAH39/1A=")</f>
        <v>#REF!</v>
      </c>
      <c r="CD31" t="e">
        <f>AND(#REF!,"AAAAAH39/1E=")</f>
        <v>#REF!</v>
      </c>
      <c r="CE31" t="e">
        <f>AND(#REF!,"AAAAAH39/1I=")</f>
        <v>#REF!</v>
      </c>
      <c r="CF31" t="e">
        <f>AND(#REF!,"AAAAAH39/1M=")</f>
        <v>#REF!</v>
      </c>
      <c r="CG31" t="e">
        <f>IF(#REF!,"AAAAAH39/1Q=",0)</f>
        <v>#REF!</v>
      </c>
      <c r="CH31" t="e">
        <f>AND(#REF!,"AAAAAH39/1U=")</f>
        <v>#REF!</v>
      </c>
      <c r="CI31" t="e">
        <f>AND(#REF!,"AAAAAH39/1Y=")</f>
        <v>#REF!</v>
      </c>
      <c r="CJ31" t="e">
        <f>AND(#REF!,"AAAAAH39/1c=")</f>
        <v>#REF!</v>
      </c>
      <c r="CK31" t="e">
        <f>AND(#REF!,"AAAAAH39/1g=")</f>
        <v>#REF!</v>
      </c>
      <c r="CL31" t="e">
        <f>AND(#REF!,"AAAAAH39/1k=")</f>
        <v>#REF!</v>
      </c>
      <c r="CM31" t="e">
        <f>AND(#REF!,"AAAAAH39/1o=")</f>
        <v>#REF!</v>
      </c>
      <c r="CN31" t="e">
        <f>AND(#REF!,"AAAAAH39/1s=")</f>
        <v>#REF!</v>
      </c>
      <c r="CO31" t="e">
        <f>AND(#REF!,"AAAAAH39/1w=")</f>
        <v>#REF!</v>
      </c>
      <c r="CP31" t="e">
        <f>AND(#REF!,"AAAAAH39/10=")</f>
        <v>#REF!</v>
      </c>
      <c r="CQ31" t="e">
        <f>AND(#REF!,"AAAAAH39/14=")</f>
        <v>#REF!</v>
      </c>
      <c r="CR31" t="e">
        <f>AND(#REF!,"AAAAAH39/18=")</f>
        <v>#REF!</v>
      </c>
      <c r="CS31" t="e">
        <f>IF(#REF!,"AAAAAH39/2A=",0)</f>
        <v>#REF!</v>
      </c>
      <c r="CT31" t="e">
        <f>AND(#REF!,"AAAAAH39/2E=")</f>
        <v>#REF!</v>
      </c>
      <c r="CU31" t="e">
        <f>AND(#REF!,"AAAAAH39/2I=")</f>
        <v>#REF!</v>
      </c>
      <c r="CV31" t="e">
        <f>AND(#REF!,"AAAAAH39/2M=")</f>
        <v>#REF!</v>
      </c>
      <c r="CW31" t="e">
        <f>AND(#REF!,"AAAAAH39/2Q=")</f>
        <v>#REF!</v>
      </c>
      <c r="CX31" t="e">
        <f>AND(#REF!,"AAAAAH39/2U=")</f>
        <v>#REF!</v>
      </c>
      <c r="CY31" t="e">
        <f>AND(#REF!,"AAAAAH39/2Y=")</f>
        <v>#REF!</v>
      </c>
      <c r="CZ31" t="e">
        <f>AND(#REF!,"AAAAAH39/2c=")</f>
        <v>#REF!</v>
      </c>
      <c r="DA31" t="e">
        <f>AND(#REF!,"AAAAAH39/2g=")</f>
        <v>#REF!</v>
      </c>
      <c r="DB31" t="e">
        <f>AND(#REF!,"AAAAAH39/2k=")</f>
        <v>#REF!</v>
      </c>
      <c r="DC31" t="e">
        <f>AND(#REF!,"AAAAAH39/2o=")</f>
        <v>#REF!</v>
      </c>
      <c r="DD31" t="e">
        <f>AND(#REF!,"AAAAAH39/2s=")</f>
        <v>#REF!</v>
      </c>
      <c r="DE31" t="e">
        <f>IF(#REF!,"AAAAAH39/2w=",0)</f>
        <v>#REF!</v>
      </c>
      <c r="DF31" t="e">
        <f>AND(#REF!,"AAAAAH39/20=")</f>
        <v>#REF!</v>
      </c>
      <c r="DG31" t="e">
        <f>AND(#REF!,"AAAAAH39/24=")</f>
        <v>#REF!</v>
      </c>
      <c r="DH31" t="e">
        <f>AND(#REF!,"AAAAAH39/28=")</f>
        <v>#REF!</v>
      </c>
      <c r="DI31" t="e">
        <f>AND(#REF!,"AAAAAH39/3A=")</f>
        <v>#REF!</v>
      </c>
      <c r="DJ31" t="e">
        <f>AND(#REF!,"AAAAAH39/3E=")</f>
        <v>#REF!</v>
      </c>
      <c r="DK31" t="e">
        <f>AND(#REF!,"AAAAAH39/3I=")</f>
        <v>#REF!</v>
      </c>
      <c r="DL31" t="e">
        <f>AND(#REF!,"AAAAAH39/3M=")</f>
        <v>#REF!</v>
      </c>
      <c r="DM31" t="e">
        <f>AND(#REF!,"AAAAAH39/3Q=")</f>
        <v>#REF!</v>
      </c>
      <c r="DN31" t="e">
        <f>AND(#REF!,"AAAAAH39/3U=")</f>
        <v>#REF!</v>
      </c>
      <c r="DO31" t="e">
        <f>AND(#REF!,"AAAAAH39/3Y=")</f>
        <v>#REF!</v>
      </c>
      <c r="DP31" t="e">
        <f>AND(#REF!,"AAAAAH39/3c=")</f>
        <v>#REF!</v>
      </c>
      <c r="DQ31" t="e">
        <f>IF(#REF!,"AAAAAH39/3g=",0)</f>
        <v>#REF!</v>
      </c>
      <c r="DR31" t="e">
        <f>AND(#REF!,"AAAAAH39/3k=")</f>
        <v>#REF!</v>
      </c>
      <c r="DS31" t="e">
        <f>AND(#REF!,"AAAAAH39/3o=")</f>
        <v>#REF!</v>
      </c>
      <c r="DT31" t="e">
        <f>AND(#REF!,"AAAAAH39/3s=")</f>
        <v>#REF!</v>
      </c>
      <c r="DU31" t="e">
        <f>AND(#REF!,"AAAAAH39/3w=")</f>
        <v>#REF!</v>
      </c>
      <c r="DV31" t="e">
        <f>AND(#REF!,"AAAAAH39/30=")</f>
        <v>#REF!</v>
      </c>
      <c r="DW31" t="e">
        <f>AND(#REF!,"AAAAAH39/34=")</f>
        <v>#REF!</v>
      </c>
      <c r="DX31" t="e">
        <f>AND(#REF!,"AAAAAH39/38=")</f>
        <v>#REF!</v>
      </c>
      <c r="DY31" t="e">
        <f>AND(#REF!,"AAAAAH39/4A=")</f>
        <v>#REF!</v>
      </c>
      <c r="DZ31" t="e">
        <f>AND(#REF!,"AAAAAH39/4E=")</f>
        <v>#REF!</v>
      </c>
      <c r="EA31" t="e">
        <f>AND(#REF!,"AAAAAH39/4I=")</f>
        <v>#REF!</v>
      </c>
      <c r="EB31" t="e">
        <f>AND(#REF!,"AAAAAH39/4M=")</f>
        <v>#REF!</v>
      </c>
      <c r="EC31" t="e">
        <f>IF(#REF!,"AAAAAH39/4Q=",0)</f>
        <v>#REF!</v>
      </c>
      <c r="ED31" t="e">
        <f>AND(#REF!,"AAAAAH39/4U=")</f>
        <v>#REF!</v>
      </c>
      <c r="EE31" t="e">
        <f>AND(#REF!,"AAAAAH39/4Y=")</f>
        <v>#REF!</v>
      </c>
      <c r="EF31" t="e">
        <f>AND(#REF!,"AAAAAH39/4c=")</f>
        <v>#REF!</v>
      </c>
      <c r="EG31" t="e">
        <f>AND(#REF!,"AAAAAH39/4g=")</f>
        <v>#REF!</v>
      </c>
      <c r="EH31" t="e">
        <f>AND(#REF!,"AAAAAH39/4k=")</f>
        <v>#REF!</v>
      </c>
      <c r="EI31" t="e">
        <f>AND(#REF!,"AAAAAH39/4o=")</f>
        <v>#REF!</v>
      </c>
      <c r="EJ31" t="e">
        <f>AND(#REF!,"AAAAAH39/4s=")</f>
        <v>#REF!</v>
      </c>
      <c r="EK31" t="e">
        <f>AND(#REF!,"AAAAAH39/4w=")</f>
        <v>#REF!</v>
      </c>
      <c r="EL31" t="e">
        <f>AND(#REF!,"AAAAAH39/40=")</f>
        <v>#REF!</v>
      </c>
      <c r="EM31" t="e">
        <f>AND(#REF!,"AAAAAH39/44=")</f>
        <v>#REF!</v>
      </c>
      <c r="EN31" t="e">
        <f>AND(#REF!,"AAAAAH39/48=")</f>
        <v>#REF!</v>
      </c>
      <c r="EO31" t="e">
        <f>IF(#REF!,"AAAAAH39/5A=",0)</f>
        <v>#REF!</v>
      </c>
      <c r="EP31" t="e">
        <f>AND(#REF!,"AAAAAH39/5E=")</f>
        <v>#REF!</v>
      </c>
      <c r="EQ31" t="e">
        <f>AND(#REF!,"AAAAAH39/5I=")</f>
        <v>#REF!</v>
      </c>
      <c r="ER31" t="e">
        <f>AND(#REF!,"AAAAAH39/5M=")</f>
        <v>#REF!</v>
      </c>
      <c r="ES31" t="e">
        <f>AND(#REF!,"AAAAAH39/5Q=")</f>
        <v>#REF!</v>
      </c>
      <c r="ET31" t="e">
        <f>AND(#REF!,"AAAAAH39/5U=")</f>
        <v>#REF!</v>
      </c>
      <c r="EU31" t="e">
        <f>AND(#REF!,"AAAAAH39/5Y=")</f>
        <v>#REF!</v>
      </c>
      <c r="EV31" t="e">
        <f>AND(#REF!,"AAAAAH39/5c=")</f>
        <v>#REF!</v>
      </c>
      <c r="EW31" t="e">
        <f>AND(#REF!,"AAAAAH39/5g=")</f>
        <v>#REF!</v>
      </c>
      <c r="EX31" t="e">
        <f>AND(#REF!,"AAAAAH39/5k=")</f>
        <v>#REF!</v>
      </c>
      <c r="EY31" t="e">
        <f>AND(#REF!,"AAAAAH39/5o=")</f>
        <v>#REF!</v>
      </c>
      <c r="EZ31" t="e">
        <f>AND(#REF!,"AAAAAH39/5s=")</f>
        <v>#REF!</v>
      </c>
      <c r="FA31" t="e">
        <f>IF(#REF!,"AAAAAH39/5w=",0)</f>
        <v>#REF!</v>
      </c>
      <c r="FB31" t="e">
        <f>AND(#REF!,"AAAAAH39/50=")</f>
        <v>#REF!</v>
      </c>
      <c r="FC31" t="e">
        <f>AND(#REF!,"AAAAAH39/54=")</f>
        <v>#REF!</v>
      </c>
      <c r="FD31" t="e">
        <f>AND(#REF!,"AAAAAH39/58=")</f>
        <v>#REF!</v>
      </c>
      <c r="FE31" t="e">
        <f>AND(#REF!,"AAAAAH39/6A=")</f>
        <v>#REF!</v>
      </c>
      <c r="FF31" t="e">
        <f>AND(#REF!,"AAAAAH39/6E=")</f>
        <v>#REF!</v>
      </c>
      <c r="FG31" t="e">
        <f>AND(#REF!,"AAAAAH39/6I=")</f>
        <v>#REF!</v>
      </c>
      <c r="FH31" t="e">
        <f>AND(#REF!,"AAAAAH39/6M=")</f>
        <v>#REF!</v>
      </c>
      <c r="FI31" t="e">
        <f>AND(#REF!,"AAAAAH39/6Q=")</f>
        <v>#REF!</v>
      </c>
      <c r="FJ31" t="e">
        <f>AND(#REF!,"AAAAAH39/6U=")</f>
        <v>#REF!</v>
      </c>
      <c r="FK31" t="e">
        <f>AND(#REF!,"AAAAAH39/6Y=")</f>
        <v>#REF!</v>
      </c>
      <c r="FL31" t="e">
        <f>AND(#REF!,"AAAAAH39/6c=")</f>
        <v>#REF!</v>
      </c>
      <c r="FM31" t="e">
        <f>IF(#REF!,"AAAAAH39/6g=",0)</f>
        <v>#REF!</v>
      </c>
      <c r="FN31" t="e">
        <f>AND(#REF!,"AAAAAH39/6k=")</f>
        <v>#REF!</v>
      </c>
      <c r="FO31" t="e">
        <f>AND(#REF!,"AAAAAH39/6o=")</f>
        <v>#REF!</v>
      </c>
      <c r="FP31" t="e">
        <f>AND(#REF!,"AAAAAH39/6s=")</f>
        <v>#REF!</v>
      </c>
      <c r="FQ31" t="e">
        <f>AND(#REF!,"AAAAAH39/6w=")</f>
        <v>#REF!</v>
      </c>
      <c r="FR31" t="e">
        <f>AND(#REF!,"AAAAAH39/60=")</f>
        <v>#REF!</v>
      </c>
      <c r="FS31" t="e">
        <f>AND(#REF!,"AAAAAH39/64=")</f>
        <v>#REF!</v>
      </c>
      <c r="FT31" t="e">
        <f>AND(#REF!,"AAAAAH39/68=")</f>
        <v>#REF!</v>
      </c>
      <c r="FU31" t="e">
        <f>AND(#REF!,"AAAAAH39/7A=")</f>
        <v>#REF!</v>
      </c>
      <c r="FV31" t="e">
        <f>AND(#REF!,"AAAAAH39/7E=")</f>
        <v>#REF!</v>
      </c>
      <c r="FW31" t="e">
        <f>AND(#REF!,"AAAAAH39/7I=")</f>
        <v>#REF!</v>
      </c>
      <c r="FX31" t="e">
        <f>AND(#REF!,"AAAAAH39/7M=")</f>
        <v>#REF!</v>
      </c>
      <c r="FY31" t="e">
        <f>IF(#REF!,"AAAAAH39/7Q=",0)</f>
        <v>#REF!</v>
      </c>
      <c r="FZ31" t="e">
        <f>AND(#REF!,"AAAAAH39/7U=")</f>
        <v>#REF!</v>
      </c>
      <c r="GA31" t="e">
        <f>AND(#REF!,"AAAAAH39/7Y=")</f>
        <v>#REF!</v>
      </c>
      <c r="GB31" t="e">
        <f>AND(#REF!,"AAAAAH39/7c=")</f>
        <v>#REF!</v>
      </c>
      <c r="GC31" t="e">
        <f>AND(#REF!,"AAAAAH39/7g=")</f>
        <v>#REF!</v>
      </c>
      <c r="GD31" t="e">
        <f>AND(#REF!,"AAAAAH39/7k=")</f>
        <v>#REF!</v>
      </c>
      <c r="GE31" t="e">
        <f>AND(#REF!,"AAAAAH39/7o=")</f>
        <v>#REF!</v>
      </c>
      <c r="GF31" t="e">
        <f>AND(#REF!,"AAAAAH39/7s=")</f>
        <v>#REF!</v>
      </c>
      <c r="GG31" t="e">
        <f>AND(#REF!,"AAAAAH39/7w=")</f>
        <v>#REF!</v>
      </c>
      <c r="GH31" t="e">
        <f>AND(#REF!,"AAAAAH39/70=")</f>
        <v>#REF!</v>
      </c>
      <c r="GI31" t="e">
        <f>AND(#REF!,"AAAAAH39/74=")</f>
        <v>#REF!</v>
      </c>
      <c r="GJ31" t="e">
        <f>AND(#REF!,"AAAAAH39/78=")</f>
        <v>#REF!</v>
      </c>
      <c r="GK31" t="e">
        <f>IF(#REF!,"AAAAAH39/8A=",0)</f>
        <v>#REF!</v>
      </c>
      <c r="GL31" t="e">
        <f>AND(#REF!,"AAAAAH39/8E=")</f>
        <v>#REF!</v>
      </c>
      <c r="GM31" t="e">
        <f>AND(#REF!,"AAAAAH39/8I=")</f>
        <v>#REF!</v>
      </c>
      <c r="GN31" t="e">
        <f>AND(#REF!,"AAAAAH39/8M=")</f>
        <v>#REF!</v>
      </c>
      <c r="GO31" t="e">
        <f>AND(#REF!,"AAAAAH39/8Q=")</f>
        <v>#REF!</v>
      </c>
      <c r="GP31" t="e">
        <f>AND(#REF!,"AAAAAH39/8U=")</f>
        <v>#REF!</v>
      </c>
      <c r="GQ31" t="e">
        <f>AND(#REF!,"AAAAAH39/8Y=")</f>
        <v>#REF!</v>
      </c>
      <c r="GR31" t="e">
        <f>AND(#REF!,"AAAAAH39/8c=")</f>
        <v>#REF!</v>
      </c>
      <c r="GS31" t="e">
        <f>AND(#REF!,"AAAAAH39/8g=")</f>
        <v>#REF!</v>
      </c>
      <c r="GT31" t="e">
        <f>AND(#REF!,"AAAAAH39/8k=")</f>
        <v>#REF!</v>
      </c>
      <c r="GU31" t="e">
        <f>AND(#REF!,"AAAAAH39/8o=")</f>
        <v>#REF!</v>
      </c>
      <c r="GV31" t="e">
        <f>AND(#REF!,"AAAAAH39/8s=")</f>
        <v>#REF!</v>
      </c>
      <c r="GW31" t="e">
        <f>IF(#REF!,"AAAAAH39/8w=",0)</f>
        <v>#REF!</v>
      </c>
      <c r="GX31" t="e">
        <f>AND(#REF!,"AAAAAH39/80=")</f>
        <v>#REF!</v>
      </c>
      <c r="GY31" t="e">
        <f>AND(#REF!,"AAAAAH39/84=")</f>
        <v>#REF!</v>
      </c>
      <c r="GZ31" t="e">
        <f>AND(#REF!,"AAAAAH39/88=")</f>
        <v>#REF!</v>
      </c>
      <c r="HA31" t="e">
        <f>AND(#REF!,"AAAAAH39/9A=")</f>
        <v>#REF!</v>
      </c>
      <c r="HB31" t="e">
        <f>AND(#REF!,"AAAAAH39/9E=")</f>
        <v>#REF!</v>
      </c>
      <c r="HC31" t="e">
        <f>AND(#REF!,"AAAAAH39/9I=")</f>
        <v>#REF!</v>
      </c>
      <c r="HD31" t="e">
        <f>AND(#REF!,"AAAAAH39/9M=")</f>
        <v>#REF!</v>
      </c>
      <c r="HE31" t="e">
        <f>AND(#REF!,"AAAAAH39/9Q=")</f>
        <v>#REF!</v>
      </c>
      <c r="HF31" t="e">
        <f>AND(#REF!,"AAAAAH39/9U=")</f>
        <v>#REF!</v>
      </c>
      <c r="HG31" t="e">
        <f>AND(#REF!,"AAAAAH39/9Y=")</f>
        <v>#REF!</v>
      </c>
      <c r="HH31" t="e">
        <f>AND(#REF!,"AAAAAH39/9c=")</f>
        <v>#REF!</v>
      </c>
      <c r="HI31" t="e">
        <f>IF(#REF!,"AAAAAH39/9g=",0)</f>
        <v>#REF!</v>
      </c>
      <c r="HJ31" t="e">
        <f>AND(#REF!,"AAAAAH39/9k=")</f>
        <v>#REF!</v>
      </c>
      <c r="HK31" t="e">
        <f>AND(#REF!,"AAAAAH39/9o=")</f>
        <v>#REF!</v>
      </c>
      <c r="HL31" t="e">
        <f>AND(#REF!,"AAAAAH39/9s=")</f>
        <v>#REF!</v>
      </c>
      <c r="HM31" t="e">
        <f>AND(#REF!,"AAAAAH39/9w=")</f>
        <v>#REF!</v>
      </c>
      <c r="HN31" t="e">
        <f>AND(#REF!,"AAAAAH39/90=")</f>
        <v>#REF!</v>
      </c>
      <c r="HO31" t="e">
        <f>AND(#REF!,"AAAAAH39/94=")</f>
        <v>#REF!</v>
      </c>
      <c r="HP31" t="e">
        <f>AND(#REF!,"AAAAAH39/98=")</f>
        <v>#REF!</v>
      </c>
      <c r="HQ31" t="e">
        <f>AND(#REF!,"AAAAAH39/+A=")</f>
        <v>#REF!</v>
      </c>
      <c r="HR31" t="e">
        <f>AND(#REF!,"AAAAAH39/+E=")</f>
        <v>#REF!</v>
      </c>
      <c r="HS31" t="e">
        <f>AND(#REF!,"AAAAAH39/+I=")</f>
        <v>#REF!</v>
      </c>
      <c r="HT31" t="e">
        <f>AND(#REF!,"AAAAAH39/+M=")</f>
        <v>#REF!</v>
      </c>
      <c r="HU31" t="e">
        <f>IF(#REF!,"AAAAAH39/+Q=",0)</f>
        <v>#REF!</v>
      </c>
      <c r="HV31" t="e">
        <f>AND(#REF!,"AAAAAH39/+U=")</f>
        <v>#REF!</v>
      </c>
      <c r="HW31" t="e">
        <f>AND(#REF!,"AAAAAH39/+Y=")</f>
        <v>#REF!</v>
      </c>
      <c r="HX31" t="e">
        <f>AND(#REF!,"AAAAAH39/+c=")</f>
        <v>#REF!</v>
      </c>
      <c r="HY31" t="e">
        <f>AND(#REF!,"AAAAAH39/+g=")</f>
        <v>#REF!</v>
      </c>
      <c r="HZ31" t="e">
        <f>AND(#REF!,"AAAAAH39/+k=")</f>
        <v>#REF!</v>
      </c>
      <c r="IA31" t="e">
        <f>AND(#REF!,"AAAAAH39/+o=")</f>
        <v>#REF!</v>
      </c>
      <c r="IB31" t="e">
        <f>AND(#REF!,"AAAAAH39/+s=")</f>
        <v>#REF!</v>
      </c>
      <c r="IC31" t="e">
        <f>AND(#REF!,"AAAAAH39/+w=")</f>
        <v>#REF!</v>
      </c>
      <c r="ID31" t="e">
        <f>AND(#REF!,"AAAAAH39/+0=")</f>
        <v>#REF!</v>
      </c>
      <c r="IE31" t="e">
        <f>AND(#REF!,"AAAAAH39/+4=")</f>
        <v>#REF!</v>
      </c>
      <c r="IF31" t="e">
        <f>AND(#REF!,"AAAAAH39/+8=")</f>
        <v>#REF!</v>
      </c>
      <c r="IG31" t="e">
        <f>IF(#REF!,"AAAAAH39//A=",0)</f>
        <v>#REF!</v>
      </c>
      <c r="IH31" t="e">
        <f>AND(#REF!,"AAAAAH39//E=")</f>
        <v>#REF!</v>
      </c>
      <c r="II31" t="e">
        <f>AND(#REF!,"AAAAAH39//I=")</f>
        <v>#REF!</v>
      </c>
      <c r="IJ31" t="e">
        <f>AND(#REF!,"AAAAAH39//M=")</f>
        <v>#REF!</v>
      </c>
      <c r="IK31" t="e">
        <f>AND(#REF!,"AAAAAH39//Q=")</f>
        <v>#REF!</v>
      </c>
      <c r="IL31" t="e">
        <f>AND(#REF!,"AAAAAH39//U=")</f>
        <v>#REF!</v>
      </c>
      <c r="IM31" t="e">
        <f>AND(#REF!,"AAAAAH39//Y=")</f>
        <v>#REF!</v>
      </c>
      <c r="IN31" t="e">
        <f>AND(#REF!,"AAAAAH39//c=")</f>
        <v>#REF!</v>
      </c>
      <c r="IO31" t="e">
        <f>AND(#REF!,"AAAAAH39//g=")</f>
        <v>#REF!</v>
      </c>
      <c r="IP31" t="e">
        <f>AND(#REF!,"AAAAAH39//k=")</f>
        <v>#REF!</v>
      </c>
      <c r="IQ31" t="e">
        <f>AND(#REF!,"AAAAAH39//o=")</f>
        <v>#REF!</v>
      </c>
      <c r="IR31" t="e">
        <f>AND(#REF!,"AAAAAH39//s=")</f>
        <v>#REF!</v>
      </c>
      <c r="IS31" t="e">
        <f>IF(#REF!,"AAAAAH39//w=",0)</f>
        <v>#REF!</v>
      </c>
      <c r="IT31" t="e">
        <f>AND(#REF!,"AAAAAH39//0=")</f>
        <v>#REF!</v>
      </c>
      <c r="IU31" t="e">
        <f>AND(#REF!,"AAAAAH39//4=")</f>
        <v>#REF!</v>
      </c>
      <c r="IV31" t="e">
        <f>AND(#REF!,"AAAAAH39//8=")</f>
        <v>#REF!</v>
      </c>
    </row>
    <row r="32" spans="1:256" ht="15">
      <c r="A32" t="e">
        <f>AND(#REF!,"AAAAAH//BQA=")</f>
        <v>#REF!</v>
      </c>
      <c r="B32" t="e">
        <f>AND(#REF!,"AAAAAH//BQE=")</f>
        <v>#REF!</v>
      </c>
      <c r="C32" t="e">
        <f>AND(#REF!,"AAAAAH//BQI=")</f>
        <v>#REF!</v>
      </c>
      <c r="D32" t="e">
        <f>AND(#REF!,"AAAAAH//BQM=")</f>
        <v>#REF!</v>
      </c>
      <c r="E32" t="e">
        <f>AND(#REF!,"AAAAAH//BQQ=")</f>
        <v>#REF!</v>
      </c>
      <c r="F32" t="e">
        <f>AND(#REF!,"AAAAAH//BQU=")</f>
        <v>#REF!</v>
      </c>
      <c r="G32" t="e">
        <f>AND(#REF!,"AAAAAH//BQY=")</f>
        <v>#REF!</v>
      </c>
      <c r="H32" t="e">
        <f>AND(#REF!,"AAAAAH//BQc=")</f>
        <v>#REF!</v>
      </c>
      <c r="I32" t="e">
        <f>IF(#REF!,"AAAAAH//BQg=",0)</f>
        <v>#REF!</v>
      </c>
      <c r="J32" t="e">
        <f>AND(#REF!,"AAAAAH//BQk=")</f>
        <v>#REF!</v>
      </c>
      <c r="K32" t="e">
        <f>AND(#REF!,"AAAAAH//BQo=")</f>
        <v>#REF!</v>
      </c>
      <c r="L32" t="e">
        <f>AND(#REF!,"AAAAAH//BQs=")</f>
        <v>#REF!</v>
      </c>
      <c r="M32" t="e">
        <f>AND(#REF!,"AAAAAH//BQw=")</f>
        <v>#REF!</v>
      </c>
      <c r="N32" t="e">
        <f>AND(#REF!,"AAAAAH//BQ0=")</f>
        <v>#REF!</v>
      </c>
      <c r="O32" t="e">
        <f>AND(#REF!,"AAAAAH//BQ4=")</f>
        <v>#REF!</v>
      </c>
      <c r="P32" t="e">
        <f>AND(#REF!,"AAAAAH//BQ8=")</f>
        <v>#REF!</v>
      </c>
      <c r="Q32" t="e">
        <f>AND(#REF!,"AAAAAH//BRA=")</f>
        <v>#REF!</v>
      </c>
      <c r="R32" t="e">
        <f>AND(#REF!,"AAAAAH//BRE=")</f>
        <v>#REF!</v>
      </c>
      <c r="S32" t="e">
        <f>AND(#REF!,"AAAAAH//BRI=")</f>
        <v>#REF!</v>
      </c>
      <c r="T32" t="e">
        <f>AND(#REF!,"AAAAAH//BRM=")</f>
        <v>#REF!</v>
      </c>
      <c r="U32" t="e">
        <f>IF(#REF!,"AAAAAH//BRQ=",0)</f>
        <v>#REF!</v>
      </c>
      <c r="V32" t="e">
        <f>AND(#REF!,"AAAAAH//BRU=")</f>
        <v>#REF!</v>
      </c>
      <c r="W32" t="e">
        <f>AND(#REF!,"AAAAAH//BRY=")</f>
        <v>#REF!</v>
      </c>
      <c r="X32" t="e">
        <f>AND(#REF!,"AAAAAH//BRc=")</f>
        <v>#REF!</v>
      </c>
      <c r="Y32" t="e">
        <f>AND(#REF!,"AAAAAH//BRg=")</f>
        <v>#REF!</v>
      </c>
      <c r="Z32" t="e">
        <f>AND(#REF!,"AAAAAH//BRk=")</f>
        <v>#REF!</v>
      </c>
      <c r="AA32" t="e">
        <f>AND(#REF!,"AAAAAH//BRo=")</f>
        <v>#REF!</v>
      </c>
      <c r="AB32" t="e">
        <f>AND(#REF!,"AAAAAH//BRs=")</f>
        <v>#REF!</v>
      </c>
      <c r="AC32" t="e">
        <f>AND(#REF!,"AAAAAH//BRw=")</f>
        <v>#REF!</v>
      </c>
      <c r="AD32" t="e">
        <f>AND(#REF!,"AAAAAH//BR0=")</f>
        <v>#REF!</v>
      </c>
      <c r="AE32" t="e">
        <f>AND(#REF!,"AAAAAH//BR4=")</f>
        <v>#REF!</v>
      </c>
      <c r="AF32" t="e">
        <f>AND(#REF!,"AAAAAH//BR8=")</f>
        <v>#REF!</v>
      </c>
      <c r="AG32" t="e">
        <f>IF(#REF!,"AAAAAH//BSA=",0)</f>
        <v>#REF!</v>
      </c>
      <c r="AH32" t="e">
        <f>AND(#REF!,"AAAAAH//BSE=")</f>
        <v>#REF!</v>
      </c>
      <c r="AI32" t="e">
        <f>AND(#REF!,"AAAAAH//BSI=")</f>
        <v>#REF!</v>
      </c>
      <c r="AJ32" t="e">
        <f>AND(#REF!,"AAAAAH//BSM=")</f>
        <v>#REF!</v>
      </c>
      <c r="AK32" t="e">
        <f>AND(#REF!,"AAAAAH//BSQ=")</f>
        <v>#REF!</v>
      </c>
      <c r="AL32" t="e">
        <f>AND(#REF!,"AAAAAH//BSU=")</f>
        <v>#REF!</v>
      </c>
      <c r="AM32" t="e">
        <f>AND(#REF!,"AAAAAH//BSY=")</f>
        <v>#REF!</v>
      </c>
      <c r="AN32" t="e">
        <f>AND(#REF!,"AAAAAH//BSc=")</f>
        <v>#REF!</v>
      </c>
      <c r="AO32" t="e">
        <f>AND(#REF!,"AAAAAH//BSg=")</f>
        <v>#REF!</v>
      </c>
      <c r="AP32" t="e">
        <f>AND(#REF!,"AAAAAH//BSk=")</f>
        <v>#REF!</v>
      </c>
      <c r="AQ32" t="e">
        <f>AND(#REF!,"AAAAAH//BSo=")</f>
        <v>#REF!</v>
      </c>
      <c r="AR32" t="e">
        <f>AND(#REF!,"AAAAAH//BSs=")</f>
        <v>#REF!</v>
      </c>
      <c r="AS32" t="e">
        <f>IF(#REF!,"AAAAAH//BSw=",0)</f>
        <v>#REF!</v>
      </c>
      <c r="AT32" t="e">
        <f>AND(#REF!,"AAAAAH//BS0=")</f>
        <v>#REF!</v>
      </c>
      <c r="AU32" t="e">
        <f>AND(#REF!,"AAAAAH//BS4=")</f>
        <v>#REF!</v>
      </c>
      <c r="AV32" t="e">
        <f>AND(#REF!,"AAAAAH//BS8=")</f>
        <v>#REF!</v>
      </c>
      <c r="AW32" t="e">
        <f>AND(#REF!,"AAAAAH//BTA=")</f>
        <v>#REF!</v>
      </c>
      <c r="AX32" t="e">
        <f>AND(#REF!,"AAAAAH//BTE=")</f>
        <v>#REF!</v>
      </c>
      <c r="AY32" t="e">
        <f>AND(#REF!,"AAAAAH//BTI=")</f>
        <v>#REF!</v>
      </c>
      <c r="AZ32" t="e">
        <f>AND(#REF!,"AAAAAH//BTM=")</f>
        <v>#REF!</v>
      </c>
      <c r="BA32" t="e">
        <f>AND(#REF!,"AAAAAH//BTQ=")</f>
        <v>#REF!</v>
      </c>
      <c r="BB32" t="e">
        <f>AND(#REF!,"AAAAAH//BTU=")</f>
        <v>#REF!</v>
      </c>
      <c r="BC32" t="e">
        <f>AND(#REF!,"AAAAAH//BTY=")</f>
        <v>#REF!</v>
      </c>
      <c r="BD32" t="e">
        <f>AND(#REF!,"AAAAAH//BTc=")</f>
        <v>#REF!</v>
      </c>
      <c r="BE32" t="e">
        <f>IF(#REF!,"AAAAAH//BTg=",0)</f>
        <v>#REF!</v>
      </c>
      <c r="BF32" t="e">
        <f>AND(#REF!,"AAAAAH//BTk=")</f>
        <v>#REF!</v>
      </c>
      <c r="BG32" t="e">
        <f>AND(#REF!,"AAAAAH//BTo=")</f>
        <v>#REF!</v>
      </c>
      <c r="BH32" t="e">
        <f>AND(#REF!,"AAAAAH//BTs=")</f>
        <v>#REF!</v>
      </c>
      <c r="BI32" t="e">
        <f>AND(#REF!,"AAAAAH//BTw=")</f>
        <v>#REF!</v>
      </c>
      <c r="BJ32" t="e">
        <f>AND(#REF!,"AAAAAH//BT0=")</f>
        <v>#REF!</v>
      </c>
      <c r="BK32" t="e">
        <f>AND(#REF!,"AAAAAH//BT4=")</f>
        <v>#REF!</v>
      </c>
      <c r="BL32" t="e">
        <f>AND(#REF!,"AAAAAH//BT8=")</f>
        <v>#REF!</v>
      </c>
      <c r="BM32" t="e">
        <f>AND(#REF!,"AAAAAH//BUA=")</f>
        <v>#REF!</v>
      </c>
      <c r="BN32" t="e">
        <f>AND(#REF!,"AAAAAH//BUE=")</f>
        <v>#REF!</v>
      </c>
      <c r="BO32" t="e">
        <f>AND(#REF!,"AAAAAH//BUI=")</f>
        <v>#REF!</v>
      </c>
      <c r="BP32" t="e">
        <f>AND(#REF!,"AAAAAH//BUM=")</f>
        <v>#REF!</v>
      </c>
      <c r="BQ32" t="e">
        <f>IF(#REF!,"AAAAAH//BUQ=",0)</f>
        <v>#REF!</v>
      </c>
      <c r="BR32" t="e">
        <f>AND(#REF!,"AAAAAH//BUU=")</f>
        <v>#REF!</v>
      </c>
      <c r="BS32" t="e">
        <f>AND(#REF!,"AAAAAH//BUY=")</f>
        <v>#REF!</v>
      </c>
      <c r="BT32" t="e">
        <f>AND(#REF!,"AAAAAH//BUc=")</f>
        <v>#REF!</v>
      </c>
      <c r="BU32" t="e">
        <f>AND(#REF!,"AAAAAH//BUg=")</f>
        <v>#REF!</v>
      </c>
      <c r="BV32" t="e">
        <f>AND(#REF!,"AAAAAH//BUk=")</f>
        <v>#REF!</v>
      </c>
      <c r="BW32" t="e">
        <f>AND(#REF!,"AAAAAH//BUo=")</f>
        <v>#REF!</v>
      </c>
      <c r="BX32" t="e">
        <f>AND(#REF!,"AAAAAH//BUs=")</f>
        <v>#REF!</v>
      </c>
      <c r="BY32" t="e">
        <f>AND(#REF!,"AAAAAH//BUw=")</f>
        <v>#REF!</v>
      </c>
      <c r="BZ32" t="e">
        <f>AND(#REF!,"AAAAAH//BU0=")</f>
        <v>#REF!</v>
      </c>
      <c r="CA32" t="e">
        <f>AND(#REF!,"AAAAAH//BU4=")</f>
        <v>#REF!</v>
      </c>
      <c r="CB32" t="e">
        <f>AND(#REF!,"AAAAAH//BU8=")</f>
        <v>#REF!</v>
      </c>
      <c r="CC32" t="e">
        <f>IF(#REF!,"AAAAAH//BVA=",0)</f>
        <v>#REF!</v>
      </c>
      <c r="CD32" t="e">
        <f>AND(#REF!,"AAAAAH//BVE=")</f>
        <v>#REF!</v>
      </c>
      <c r="CE32" t="e">
        <f>AND(#REF!,"AAAAAH//BVI=")</f>
        <v>#REF!</v>
      </c>
      <c r="CF32" t="e">
        <f>AND(#REF!,"AAAAAH//BVM=")</f>
        <v>#REF!</v>
      </c>
      <c r="CG32" t="e">
        <f>AND(#REF!,"AAAAAH//BVQ=")</f>
        <v>#REF!</v>
      </c>
      <c r="CH32" t="e">
        <f>AND(#REF!,"AAAAAH//BVU=")</f>
        <v>#REF!</v>
      </c>
      <c r="CI32" t="e">
        <f>AND(#REF!,"AAAAAH//BVY=")</f>
        <v>#REF!</v>
      </c>
      <c r="CJ32" t="e">
        <f>AND(#REF!,"AAAAAH//BVc=")</f>
        <v>#REF!</v>
      </c>
      <c r="CK32" t="e">
        <f>AND(#REF!,"AAAAAH//BVg=")</f>
        <v>#REF!</v>
      </c>
      <c r="CL32" t="e">
        <f>AND(#REF!,"AAAAAH//BVk=")</f>
        <v>#REF!</v>
      </c>
      <c r="CM32" t="e">
        <f>AND(#REF!,"AAAAAH//BVo=")</f>
        <v>#REF!</v>
      </c>
      <c r="CN32" t="e">
        <f>AND(#REF!,"AAAAAH//BVs=")</f>
        <v>#REF!</v>
      </c>
      <c r="CO32" t="e">
        <f>IF(#REF!,"AAAAAH//BVw=",0)</f>
        <v>#REF!</v>
      </c>
      <c r="CP32" t="e">
        <f>AND(#REF!,"AAAAAH//BV0=")</f>
        <v>#REF!</v>
      </c>
      <c r="CQ32" t="e">
        <f>AND(#REF!,"AAAAAH//BV4=")</f>
        <v>#REF!</v>
      </c>
      <c r="CR32" t="e">
        <f>AND(#REF!,"AAAAAH//BV8=")</f>
        <v>#REF!</v>
      </c>
      <c r="CS32" t="e">
        <f>AND(#REF!,"AAAAAH//BWA=")</f>
        <v>#REF!</v>
      </c>
      <c r="CT32" t="e">
        <f>AND(#REF!,"AAAAAH//BWE=")</f>
        <v>#REF!</v>
      </c>
      <c r="CU32" t="e">
        <f>AND(#REF!,"AAAAAH//BWI=")</f>
        <v>#REF!</v>
      </c>
      <c r="CV32" t="e">
        <f>AND(#REF!,"AAAAAH//BWM=")</f>
        <v>#REF!</v>
      </c>
      <c r="CW32" t="e">
        <f>AND(#REF!,"AAAAAH//BWQ=")</f>
        <v>#REF!</v>
      </c>
      <c r="CX32" t="e">
        <f>AND(#REF!,"AAAAAH//BWU=")</f>
        <v>#REF!</v>
      </c>
      <c r="CY32" t="e">
        <f>AND(#REF!,"AAAAAH//BWY=")</f>
        <v>#REF!</v>
      </c>
      <c r="CZ32" t="e">
        <f>AND(#REF!,"AAAAAH//BWc=")</f>
        <v>#REF!</v>
      </c>
      <c r="DA32" t="e">
        <f>IF(#REF!,"AAAAAH//BWg=",0)</f>
        <v>#REF!</v>
      </c>
      <c r="DB32" t="e">
        <f>AND(#REF!,"AAAAAH//BWk=")</f>
        <v>#REF!</v>
      </c>
      <c r="DC32" t="e">
        <f>AND(#REF!,"AAAAAH//BWo=")</f>
        <v>#REF!</v>
      </c>
      <c r="DD32" t="e">
        <f>AND(#REF!,"AAAAAH//BWs=")</f>
        <v>#REF!</v>
      </c>
      <c r="DE32" t="e">
        <f>AND(#REF!,"AAAAAH//BWw=")</f>
        <v>#REF!</v>
      </c>
      <c r="DF32" t="e">
        <f>AND(#REF!,"AAAAAH//BW0=")</f>
        <v>#REF!</v>
      </c>
      <c r="DG32" t="e">
        <f>AND(#REF!,"AAAAAH//BW4=")</f>
        <v>#REF!</v>
      </c>
      <c r="DH32" t="e">
        <f>AND(#REF!,"AAAAAH//BW8=")</f>
        <v>#REF!</v>
      </c>
      <c r="DI32" t="e">
        <f>AND(#REF!,"AAAAAH//BXA=")</f>
        <v>#REF!</v>
      </c>
      <c r="DJ32" t="e">
        <f>AND(#REF!,"AAAAAH//BXE=")</f>
        <v>#REF!</v>
      </c>
      <c r="DK32" t="e">
        <f>AND(#REF!,"AAAAAH//BXI=")</f>
        <v>#REF!</v>
      </c>
      <c r="DL32" t="e">
        <f>AND(#REF!,"AAAAAH//BXM=")</f>
        <v>#REF!</v>
      </c>
      <c r="DM32" t="e">
        <f>IF(#REF!,"AAAAAH//BXQ=",0)</f>
        <v>#REF!</v>
      </c>
      <c r="DN32" t="e">
        <f>AND(#REF!,"AAAAAH//BXU=")</f>
        <v>#REF!</v>
      </c>
      <c r="DO32" t="e">
        <f>AND(#REF!,"AAAAAH//BXY=")</f>
        <v>#REF!</v>
      </c>
      <c r="DP32" t="e">
        <f>AND(#REF!,"AAAAAH//BXc=")</f>
        <v>#REF!</v>
      </c>
      <c r="DQ32" t="e">
        <f>AND(#REF!,"AAAAAH//BXg=")</f>
        <v>#REF!</v>
      </c>
      <c r="DR32" t="e">
        <f>AND(#REF!,"AAAAAH//BXk=")</f>
        <v>#REF!</v>
      </c>
      <c r="DS32" t="e">
        <f>AND(#REF!,"AAAAAH//BXo=")</f>
        <v>#REF!</v>
      </c>
      <c r="DT32" t="e">
        <f>AND(#REF!,"AAAAAH//BXs=")</f>
        <v>#REF!</v>
      </c>
      <c r="DU32" t="e">
        <f>AND(#REF!,"AAAAAH//BXw=")</f>
        <v>#REF!</v>
      </c>
      <c r="DV32" t="e">
        <f>AND(#REF!,"AAAAAH//BX0=")</f>
        <v>#REF!</v>
      </c>
      <c r="DW32" t="e">
        <f>AND(#REF!,"AAAAAH//BX4=")</f>
        <v>#REF!</v>
      </c>
      <c r="DX32" t="e">
        <f>AND(#REF!,"AAAAAH//BX8=")</f>
        <v>#REF!</v>
      </c>
      <c r="DY32" t="e">
        <f>IF(#REF!,"AAAAAH//BYA=",0)</f>
        <v>#REF!</v>
      </c>
      <c r="DZ32" t="e">
        <f>AND(#REF!,"AAAAAH//BYE=")</f>
        <v>#REF!</v>
      </c>
      <c r="EA32" t="e">
        <f>AND(#REF!,"AAAAAH//BYI=")</f>
        <v>#REF!</v>
      </c>
      <c r="EB32" t="e">
        <f>AND(#REF!,"AAAAAH//BYM=")</f>
        <v>#REF!</v>
      </c>
      <c r="EC32" t="e">
        <f>AND(#REF!,"AAAAAH//BYQ=")</f>
        <v>#REF!</v>
      </c>
      <c r="ED32" t="e">
        <f>AND(#REF!,"AAAAAH//BYU=")</f>
        <v>#REF!</v>
      </c>
      <c r="EE32" t="e">
        <f>AND(#REF!,"AAAAAH//BYY=")</f>
        <v>#REF!</v>
      </c>
      <c r="EF32" t="e">
        <f>AND(#REF!,"AAAAAH//BYc=")</f>
        <v>#REF!</v>
      </c>
      <c r="EG32" t="e">
        <f>AND(#REF!,"AAAAAH//BYg=")</f>
        <v>#REF!</v>
      </c>
      <c r="EH32" t="e">
        <f>AND(#REF!,"AAAAAH//BYk=")</f>
        <v>#REF!</v>
      </c>
      <c r="EI32" t="e">
        <f>AND(#REF!,"AAAAAH//BYo=")</f>
        <v>#REF!</v>
      </c>
      <c r="EJ32" t="e">
        <f>AND(#REF!,"AAAAAH//BYs=")</f>
        <v>#REF!</v>
      </c>
      <c r="EK32" t="e">
        <f>IF(#REF!,"AAAAAH//BYw=",0)</f>
        <v>#REF!</v>
      </c>
      <c r="EL32" t="e">
        <f>AND(#REF!,"AAAAAH//BY0=")</f>
        <v>#REF!</v>
      </c>
      <c r="EM32" t="e">
        <f>AND(#REF!,"AAAAAH//BY4=")</f>
        <v>#REF!</v>
      </c>
      <c r="EN32" t="e">
        <f>AND(#REF!,"AAAAAH//BY8=")</f>
        <v>#REF!</v>
      </c>
      <c r="EO32" t="e">
        <f>AND(#REF!,"AAAAAH//BZA=")</f>
        <v>#REF!</v>
      </c>
      <c r="EP32" t="e">
        <f>AND(#REF!,"AAAAAH//BZE=")</f>
        <v>#REF!</v>
      </c>
      <c r="EQ32" t="e">
        <f>AND(#REF!,"AAAAAH//BZI=")</f>
        <v>#REF!</v>
      </c>
      <c r="ER32" t="e">
        <f>AND(#REF!,"AAAAAH//BZM=")</f>
        <v>#REF!</v>
      </c>
      <c r="ES32" t="e">
        <f>AND(#REF!,"AAAAAH//BZQ=")</f>
        <v>#REF!</v>
      </c>
      <c r="ET32" t="e">
        <f>AND(#REF!,"AAAAAH//BZU=")</f>
        <v>#REF!</v>
      </c>
      <c r="EU32" t="e">
        <f>AND(#REF!,"AAAAAH//BZY=")</f>
        <v>#REF!</v>
      </c>
      <c r="EV32" t="e">
        <f>AND(#REF!,"AAAAAH//BZc=")</f>
        <v>#REF!</v>
      </c>
      <c r="EW32" t="e">
        <f>IF(#REF!,"AAAAAH//BZg=",0)</f>
        <v>#REF!</v>
      </c>
      <c r="EX32" t="e">
        <f>AND(#REF!,"AAAAAH//BZk=")</f>
        <v>#REF!</v>
      </c>
      <c r="EY32" t="e">
        <f>AND(#REF!,"AAAAAH//BZo=")</f>
        <v>#REF!</v>
      </c>
      <c r="EZ32" t="e">
        <f>AND(#REF!,"AAAAAH//BZs=")</f>
        <v>#REF!</v>
      </c>
      <c r="FA32" t="e">
        <f>AND(#REF!,"AAAAAH//BZw=")</f>
        <v>#REF!</v>
      </c>
      <c r="FB32" t="e">
        <f>AND(#REF!,"AAAAAH//BZ0=")</f>
        <v>#REF!</v>
      </c>
      <c r="FC32" t="e">
        <f>AND(#REF!,"AAAAAH//BZ4=")</f>
        <v>#REF!</v>
      </c>
      <c r="FD32" t="e">
        <f>AND(#REF!,"AAAAAH//BZ8=")</f>
        <v>#REF!</v>
      </c>
      <c r="FE32" t="e">
        <f>AND(#REF!,"AAAAAH//BaA=")</f>
        <v>#REF!</v>
      </c>
      <c r="FF32" t="e">
        <f>AND(#REF!,"AAAAAH//BaE=")</f>
        <v>#REF!</v>
      </c>
      <c r="FG32" t="e">
        <f>AND(#REF!,"AAAAAH//BaI=")</f>
        <v>#REF!</v>
      </c>
      <c r="FH32" t="e">
        <f>AND(#REF!,"AAAAAH//BaM=")</f>
        <v>#REF!</v>
      </c>
      <c r="FI32" t="e">
        <f>IF(#REF!,"AAAAAH//BaQ=",0)</f>
        <v>#REF!</v>
      </c>
      <c r="FJ32" t="e">
        <f>AND(#REF!,"AAAAAH//BaU=")</f>
        <v>#REF!</v>
      </c>
      <c r="FK32" t="e">
        <f>AND(#REF!,"AAAAAH//BaY=")</f>
        <v>#REF!</v>
      </c>
      <c r="FL32" t="e">
        <f>AND(#REF!,"AAAAAH//Bac=")</f>
        <v>#REF!</v>
      </c>
      <c r="FM32" t="e">
        <f>AND(#REF!,"AAAAAH//Bag=")</f>
        <v>#REF!</v>
      </c>
      <c r="FN32" t="e">
        <f>AND(#REF!,"AAAAAH//Bak=")</f>
        <v>#REF!</v>
      </c>
      <c r="FO32" t="e">
        <f>AND(#REF!,"AAAAAH//Bao=")</f>
        <v>#REF!</v>
      </c>
      <c r="FP32" t="e">
        <f>AND(#REF!,"AAAAAH//Bas=")</f>
        <v>#REF!</v>
      </c>
      <c r="FQ32" t="e">
        <f>AND(#REF!,"AAAAAH//Baw=")</f>
        <v>#REF!</v>
      </c>
      <c r="FR32" t="e">
        <f>AND(#REF!,"AAAAAH//Ba0=")</f>
        <v>#REF!</v>
      </c>
      <c r="FS32" t="e">
        <f>AND(#REF!,"AAAAAH//Ba4=")</f>
        <v>#REF!</v>
      </c>
      <c r="FT32" t="e">
        <f>AND(#REF!,"AAAAAH//Ba8=")</f>
        <v>#REF!</v>
      </c>
      <c r="FU32" t="e">
        <f>IF(#REF!,"AAAAAH//BbA=",0)</f>
        <v>#REF!</v>
      </c>
      <c r="FV32" t="e">
        <f>AND(#REF!,"AAAAAH//BbE=")</f>
        <v>#REF!</v>
      </c>
      <c r="FW32" t="e">
        <f>AND(#REF!,"AAAAAH//BbI=")</f>
        <v>#REF!</v>
      </c>
      <c r="FX32" t="e">
        <f>AND(#REF!,"AAAAAH//BbM=")</f>
        <v>#REF!</v>
      </c>
      <c r="FY32" t="e">
        <f>AND(#REF!,"AAAAAH//BbQ=")</f>
        <v>#REF!</v>
      </c>
      <c r="FZ32" t="e">
        <f>AND(#REF!,"AAAAAH//BbU=")</f>
        <v>#REF!</v>
      </c>
      <c r="GA32" t="e">
        <f>AND(#REF!,"AAAAAH//BbY=")</f>
        <v>#REF!</v>
      </c>
      <c r="GB32" t="e">
        <f>AND(#REF!,"AAAAAH//Bbc=")</f>
        <v>#REF!</v>
      </c>
      <c r="GC32" t="e">
        <f>AND(#REF!,"AAAAAH//Bbg=")</f>
        <v>#REF!</v>
      </c>
      <c r="GD32" t="e">
        <f>AND(#REF!,"AAAAAH//Bbk=")</f>
        <v>#REF!</v>
      </c>
      <c r="GE32" t="e">
        <f>AND(#REF!,"AAAAAH//Bbo=")</f>
        <v>#REF!</v>
      </c>
      <c r="GF32" t="e">
        <f>AND(#REF!,"AAAAAH//Bbs=")</f>
        <v>#REF!</v>
      </c>
      <c r="GG32" t="e">
        <f>IF(#REF!,"AAAAAH//Bbw=",0)</f>
        <v>#REF!</v>
      </c>
      <c r="GH32" t="e">
        <f>AND(#REF!,"AAAAAH//Bb0=")</f>
        <v>#REF!</v>
      </c>
      <c r="GI32" t="e">
        <f>AND(#REF!,"AAAAAH//Bb4=")</f>
        <v>#REF!</v>
      </c>
      <c r="GJ32" t="e">
        <f>AND(#REF!,"AAAAAH//Bb8=")</f>
        <v>#REF!</v>
      </c>
      <c r="GK32" t="e">
        <f>AND(#REF!,"AAAAAH//BcA=")</f>
        <v>#REF!</v>
      </c>
      <c r="GL32" t="e">
        <f>AND(#REF!,"AAAAAH//BcE=")</f>
        <v>#REF!</v>
      </c>
      <c r="GM32" t="e">
        <f>AND(#REF!,"AAAAAH//BcI=")</f>
        <v>#REF!</v>
      </c>
      <c r="GN32" t="e">
        <f>AND(#REF!,"AAAAAH//BcM=")</f>
        <v>#REF!</v>
      </c>
      <c r="GO32" t="e">
        <f>AND(#REF!,"AAAAAH//BcQ=")</f>
        <v>#REF!</v>
      </c>
      <c r="GP32" t="e">
        <f>AND(#REF!,"AAAAAH//BcU=")</f>
        <v>#REF!</v>
      </c>
      <c r="GQ32" t="e">
        <f>AND(#REF!,"AAAAAH//BcY=")</f>
        <v>#REF!</v>
      </c>
      <c r="GR32" t="e">
        <f>AND(#REF!,"AAAAAH//Bcc=")</f>
        <v>#REF!</v>
      </c>
      <c r="GS32" t="e">
        <f>IF(#REF!,"AAAAAH//Bcg=",0)</f>
        <v>#REF!</v>
      </c>
      <c r="GT32" t="e">
        <f>AND(#REF!,"AAAAAH//Bck=")</f>
        <v>#REF!</v>
      </c>
      <c r="GU32" t="e">
        <f>AND(#REF!,"AAAAAH//Bco=")</f>
        <v>#REF!</v>
      </c>
      <c r="GV32" t="e">
        <f>AND(#REF!,"AAAAAH//Bcs=")</f>
        <v>#REF!</v>
      </c>
      <c r="GW32" t="e">
        <f>AND(#REF!,"AAAAAH//Bcw=")</f>
        <v>#REF!</v>
      </c>
      <c r="GX32" t="e">
        <f>AND(#REF!,"AAAAAH//Bc0=")</f>
        <v>#REF!</v>
      </c>
      <c r="GY32" t="e">
        <f>AND(#REF!,"AAAAAH//Bc4=")</f>
        <v>#REF!</v>
      </c>
      <c r="GZ32" t="e">
        <f>AND(#REF!,"AAAAAH//Bc8=")</f>
        <v>#REF!</v>
      </c>
      <c r="HA32" t="e">
        <f>AND(#REF!,"AAAAAH//BdA=")</f>
        <v>#REF!</v>
      </c>
      <c r="HB32" t="e">
        <f>AND(#REF!,"AAAAAH//BdE=")</f>
        <v>#REF!</v>
      </c>
      <c r="HC32" t="e">
        <f>AND(#REF!,"AAAAAH//BdI=")</f>
        <v>#REF!</v>
      </c>
      <c r="HD32" t="e">
        <f>AND(#REF!,"AAAAAH//BdM=")</f>
        <v>#REF!</v>
      </c>
      <c r="HE32" t="e">
        <f>IF(#REF!,"AAAAAH//BdQ=",0)</f>
        <v>#REF!</v>
      </c>
      <c r="HF32" t="e">
        <f>AND(#REF!,"AAAAAH//BdU=")</f>
        <v>#REF!</v>
      </c>
      <c r="HG32" t="e">
        <f>AND(#REF!,"AAAAAH//BdY=")</f>
        <v>#REF!</v>
      </c>
      <c r="HH32" t="e">
        <f>AND(#REF!,"AAAAAH//Bdc=")</f>
        <v>#REF!</v>
      </c>
      <c r="HI32" t="e">
        <f>AND(#REF!,"AAAAAH//Bdg=")</f>
        <v>#REF!</v>
      </c>
      <c r="HJ32" t="e">
        <f>AND(#REF!,"AAAAAH//Bdk=")</f>
        <v>#REF!</v>
      </c>
      <c r="HK32" t="e">
        <f>AND(#REF!,"AAAAAH//Bdo=")</f>
        <v>#REF!</v>
      </c>
      <c r="HL32" t="e">
        <f>AND(#REF!,"AAAAAH//Bds=")</f>
        <v>#REF!</v>
      </c>
      <c r="HM32" t="e">
        <f>AND(#REF!,"AAAAAH//Bdw=")</f>
        <v>#REF!</v>
      </c>
      <c r="HN32" t="e">
        <f>AND(#REF!,"AAAAAH//Bd0=")</f>
        <v>#REF!</v>
      </c>
      <c r="HO32" t="e">
        <f>AND(#REF!,"AAAAAH//Bd4=")</f>
        <v>#REF!</v>
      </c>
      <c r="HP32" t="e">
        <f>AND(#REF!,"AAAAAH//Bd8=")</f>
        <v>#REF!</v>
      </c>
      <c r="HQ32" t="e">
        <f>IF(#REF!,"AAAAAH//BeA=",0)</f>
        <v>#REF!</v>
      </c>
      <c r="HR32" t="e">
        <f>AND(#REF!,"AAAAAH//BeE=")</f>
        <v>#REF!</v>
      </c>
      <c r="HS32" t="e">
        <f>AND(#REF!,"AAAAAH//BeI=")</f>
        <v>#REF!</v>
      </c>
      <c r="HT32" t="e">
        <f>AND(#REF!,"AAAAAH//BeM=")</f>
        <v>#REF!</v>
      </c>
      <c r="HU32" t="e">
        <f>AND(#REF!,"AAAAAH//BeQ=")</f>
        <v>#REF!</v>
      </c>
      <c r="HV32" t="e">
        <f>AND(#REF!,"AAAAAH//BeU=")</f>
        <v>#REF!</v>
      </c>
      <c r="HW32" t="e">
        <f>AND(#REF!,"AAAAAH//BeY=")</f>
        <v>#REF!</v>
      </c>
      <c r="HX32" t="e">
        <f>AND(#REF!,"AAAAAH//Bec=")</f>
        <v>#REF!</v>
      </c>
      <c r="HY32" t="e">
        <f>AND(#REF!,"AAAAAH//Beg=")</f>
        <v>#REF!</v>
      </c>
      <c r="HZ32" t="e">
        <f>AND(#REF!,"AAAAAH//Bek=")</f>
        <v>#REF!</v>
      </c>
      <c r="IA32" t="e">
        <f>AND(#REF!,"AAAAAH//Beo=")</f>
        <v>#REF!</v>
      </c>
      <c r="IB32" t="e">
        <f>AND(#REF!,"AAAAAH//Bes=")</f>
        <v>#REF!</v>
      </c>
      <c r="IC32" t="e">
        <f>IF(#REF!,"AAAAAH//Bew=",0)</f>
        <v>#REF!</v>
      </c>
      <c r="ID32" t="e">
        <f>IF(#REF!,"AAAAAH//Be0=",0)</f>
        <v>#REF!</v>
      </c>
      <c r="IE32" t="e">
        <f>IF(#REF!,"AAAAAH//Be4=",0)</f>
        <v>#REF!</v>
      </c>
      <c r="IF32" t="e">
        <f>IF(#REF!,"AAAAAH//Be8=",0)</f>
        <v>#REF!</v>
      </c>
      <c r="IG32" t="e">
        <f>IF(#REF!,"AAAAAH//BfA=",0)</f>
        <v>#REF!</v>
      </c>
      <c r="IH32" t="e">
        <f>IF(#REF!,"AAAAAH//BfE=",0)</f>
        <v>#REF!</v>
      </c>
      <c r="II32" t="e">
        <f>IF(#REF!,"AAAAAH//BfI=",0)</f>
        <v>#REF!</v>
      </c>
      <c r="IJ32" t="e">
        <f>IF(#REF!,"AAAAAH//BfM=",0)</f>
        <v>#REF!</v>
      </c>
      <c r="IK32" t="e">
        <f>IF(#REF!,"AAAAAH//BfQ=",0)</f>
        <v>#REF!</v>
      </c>
      <c r="IL32" t="e">
        <f>IF(#REF!,"AAAAAH//BfU=",0)</f>
        <v>#REF!</v>
      </c>
      <c r="IM32" t="e">
        <f>IF(#REF!,"AAAAAH//BfY=",0)</f>
        <v>#REF!</v>
      </c>
      <c r="IN32" t="e">
        <f>IF(#REF!,"AAAAAH//Bfc=",0)</f>
        <v>#REF!</v>
      </c>
      <c r="IO32" t="e">
        <f>IF(#REF!,"AAAAAH//Bfg=",0)</f>
        <v>#REF!</v>
      </c>
      <c r="IP32" t="e">
        <f>IF(#REF!,"AAAAAH//Bfk=",0)</f>
        <v>#REF!</v>
      </c>
      <c r="IQ32" t="e">
        <f>IF(#REF!,"AAAAAH//Bfo=",0)</f>
        <v>#REF!</v>
      </c>
      <c r="IR32" t="e">
        <f>AND(#REF!,"AAAAAH//Bfs=")</f>
        <v>#REF!</v>
      </c>
      <c r="IS32" t="e">
        <f>AND(#REF!,"AAAAAH//Bfw=")</f>
        <v>#REF!</v>
      </c>
      <c r="IT32" t="e">
        <f>AND(#REF!,"AAAAAH//Bf0=")</f>
        <v>#REF!</v>
      </c>
      <c r="IU32" t="e">
        <f>AND(#REF!,"AAAAAH//Bf4=")</f>
        <v>#REF!</v>
      </c>
      <c r="IV32" t="e">
        <f>AND(#REF!,"AAAAAH//Bf8=")</f>
        <v>#REF!</v>
      </c>
    </row>
    <row r="33" spans="1:256" ht="15">
      <c r="A33" t="e">
        <f>AND(#REF!,"AAAAAHvlXgA=")</f>
        <v>#REF!</v>
      </c>
      <c r="B33" t="e">
        <f>AND(#REF!,"AAAAAHvlXgE=")</f>
        <v>#REF!</v>
      </c>
      <c r="C33" t="e">
        <f>AND(#REF!,"AAAAAHvlXgI=")</f>
        <v>#REF!</v>
      </c>
      <c r="D33" t="e">
        <f>AND(#REF!,"AAAAAHvlXgM=")</f>
        <v>#REF!</v>
      </c>
      <c r="E33" t="e">
        <f>AND(#REF!,"AAAAAHvlXgQ=")</f>
        <v>#REF!</v>
      </c>
      <c r="F33" t="e">
        <f>AND(#REF!,"AAAAAHvlXgU=")</f>
        <v>#REF!</v>
      </c>
      <c r="G33" t="e">
        <f>IF(#REF!,"AAAAAHvlXgY=",0)</f>
        <v>#REF!</v>
      </c>
      <c r="H33" t="e">
        <f>AND(#REF!,"AAAAAHvlXgc=")</f>
        <v>#REF!</v>
      </c>
      <c r="I33" t="e">
        <f>AND(#REF!,"AAAAAHvlXgg=")</f>
        <v>#REF!</v>
      </c>
      <c r="J33" t="e">
        <f>AND(#REF!,"AAAAAHvlXgk=")</f>
        <v>#REF!</v>
      </c>
      <c r="K33" t="e">
        <f>AND(#REF!,"AAAAAHvlXgo=")</f>
        <v>#REF!</v>
      </c>
      <c r="L33" t="e">
        <f>AND(#REF!,"AAAAAHvlXgs=")</f>
        <v>#REF!</v>
      </c>
      <c r="M33" t="e">
        <f>AND(#REF!,"AAAAAHvlXgw=")</f>
        <v>#REF!</v>
      </c>
      <c r="N33" t="e">
        <f>AND(#REF!,"AAAAAHvlXg0=")</f>
        <v>#REF!</v>
      </c>
      <c r="O33" t="e">
        <f>AND(#REF!,"AAAAAHvlXg4=")</f>
        <v>#REF!</v>
      </c>
      <c r="P33" t="e">
        <f>AND(#REF!,"AAAAAHvlXg8=")</f>
        <v>#REF!</v>
      </c>
      <c r="Q33" t="e">
        <f>AND(#REF!,"AAAAAHvlXhA=")</f>
        <v>#REF!</v>
      </c>
      <c r="R33" t="e">
        <f>AND(#REF!,"AAAAAHvlXhE=")</f>
        <v>#REF!</v>
      </c>
      <c r="S33" t="e">
        <f>IF(#REF!,"AAAAAHvlXhI=",0)</f>
        <v>#REF!</v>
      </c>
      <c r="T33" t="e">
        <f>AND(#REF!,"AAAAAHvlXhM=")</f>
        <v>#REF!</v>
      </c>
      <c r="U33" t="e">
        <f>AND(#REF!,"AAAAAHvlXhQ=")</f>
        <v>#REF!</v>
      </c>
      <c r="V33" t="e">
        <f>AND(#REF!,"AAAAAHvlXhU=")</f>
        <v>#REF!</v>
      </c>
      <c r="W33" t="e">
        <f>AND(#REF!,"AAAAAHvlXhY=")</f>
        <v>#REF!</v>
      </c>
      <c r="X33" t="e">
        <f>AND(#REF!,"AAAAAHvlXhc=")</f>
        <v>#REF!</v>
      </c>
      <c r="Y33" t="e">
        <f>AND(#REF!,"AAAAAHvlXhg=")</f>
        <v>#REF!</v>
      </c>
      <c r="Z33" t="e">
        <f>AND(#REF!,"AAAAAHvlXhk=")</f>
        <v>#REF!</v>
      </c>
      <c r="AA33" t="e">
        <f>AND(#REF!,"AAAAAHvlXho=")</f>
        <v>#REF!</v>
      </c>
      <c r="AB33" t="e">
        <f>AND(#REF!,"AAAAAHvlXhs=")</f>
        <v>#REF!</v>
      </c>
      <c r="AC33" t="e">
        <f>AND(#REF!,"AAAAAHvlXhw=")</f>
        <v>#REF!</v>
      </c>
      <c r="AD33" t="e">
        <f>AND(#REF!,"AAAAAHvlXh0=")</f>
        <v>#REF!</v>
      </c>
      <c r="AE33" t="e">
        <f>IF(#REF!,"AAAAAHvlXh4=",0)</f>
        <v>#REF!</v>
      </c>
      <c r="AF33" t="e">
        <f>AND(#REF!,"AAAAAHvlXh8=")</f>
        <v>#REF!</v>
      </c>
      <c r="AG33" t="e">
        <f>AND(#REF!,"AAAAAHvlXiA=")</f>
        <v>#REF!</v>
      </c>
      <c r="AH33" t="e">
        <f>AND(#REF!,"AAAAAHvlXiE=")</f>
        <v>#REF!</v>
      </c>
      <c r="AI33" t="e">
        <f>AND(#REF!,"AAAAAHvlXiI=")</f>
        <v>#REF!</v>
      </c>
      <c r="AJ33" t="e">
        <f>AND(#REF!,"AAAAAHvlXiM=")</f>
        <v>#REF!</v>
      </c>
      <c r="AK33" t="e">
        <f>AND(#REF!,"AAAAAHvlXiQ=")</f>
        <v>#REF!</v>
      </c>
      <c r="AL33" t="e">
        <f>AND(#REF!,"AAAAAHvlXiU=")</f>
        <v>#REF!</v>
      </c>
      <c r="AM33" t="e">
        <f>AND(#REF!,"AAAAAHvlXiY=")</f>
        <v>#REF!</v>
      </c>
      <c r="AN33" t="e">
        <f>AND(#REF!,"AAAAAHvlXic=")</f>
        <v>#REF!</v>
      </c>
      <c r="AO33" t="e">
        <f>AND(#REF!,"AAAAAHvlXig=")</f>
        <v>#REF!</v>
      </c>
      <c r="AP33" t="e">
        <f>AND(#REF!,"AAAAAHvlXik=")</f>
        <v>#REF!</v>
      </c>
      <c r="AQ33" t="e">
        <f>IF(#REF!,"AAAAAHvlXio=",0)</f>
        <v>#REF!</v>
      </c>
      <c r="AR33" t="e">
        <f>AND(#REF!,"AAAAAHvlXis=")</f>
        <v>#REF!</v>
      </c>
      <c r="AS33" t="e">
        <f>AND(#REF!,"AAAAAHvlXiw=")</f>
        <v>#REF!</v>
      </c>
      <c r="AT33" t="e">
        <f>AND(#REF!,"AAAAAHvlXi0=")</f>
        <v>#REF!</v>
      </c>
      <c r="AU33" t="e">
        <f>AND(#REF!,"AAAAAHvlXi4=")</f>
        <v>#REF!</v>
      </c>
      <c r="AV33" t="e">
        <f>AND(#REF!,"AAAAAHvlXi8=")</f>
        <v>#REF!</v>
      </c>
      <c r="AW33" t="e">
        <f>AND(#REF!,"AAAAAHvlXjA=")</f>
        <v>#REF!</v>
      </c>
      <c r="AX33" t="e">
        <f>AND(#REF!,"AAAAAHvlXjE=")</f>
        <v>#REF!</v>
      </c>
      <c r="AY33" t="e">
        <f>AND(#REF!,"AAAAAHvlXjI=")</f>
        <v>#REF!</v>
      </c>
      <c r="AZ33" t="e">
        <f>AND(#REF!,"AAAAAHvlXjM=")</f>
        <v>#REF!</v>
      </c>
      <c r="BA33" t="e">
        <f>AND(#REF!,"AAAAAHvlXjQ=")</f>
        <v>#REF!</v>
      </c>
      <c r="BB33" t="e">
        <f>AND(#REF!,"AAAAAHvlXjU=")</f>
        <v>#REF!</v>
      </c>
      <c r="BC33" t="e">
        <f>IF(#REF!,"AAAAAHvlXjY=",0)</f>
        <v>#REF!</v>
      </c>
      <c r="BD33" t="e">
        <f>AND(#REF!,"AAAAAHvlXjc=")</f>
        <v>#REF!</v>
      </c>
      <c r="BE33" t="e">
        <f>AND(#REF!,"AAAAAHvlXjg=")</f>
        <v>#REF!</v>
      </c>
      <c r="BF33" t="e">
        <f>AND(#REF!,"AAAAAHvlXjk=")</f>
        <v>#REF!</v>
      </c>
      <c r="BG33" t="e">
        <f>AND(#REF!,"AAAAAHvlXjo=")</f>
        <v>#REF!</v>
      </c>
      <c r="BH33" t="e">
        <f>AND(#REF!,"AAAAAHvlXjs=")</f>
        <v>#REF!</v>
      </c>
      <c r="BI33" t="e">
        <f>AND(#REF!,"AAAAAHvlXjw=")</f>
        <v>#REF!</v>
      </c>
      <c r="BJ33" t="e">
        <f>AND(#REF!,"AAAAAHvlXj0=")</f>
        <v>#REF!</v>
      </c>
      <c r="BK33" t="e">
        <f>AND(#REF!,"AAAAAHvlXj4=")</f>
        <v>#REF!</v>
      </c>
      <c r="BL33" t="e">
        <f>AND(#REF!,"AAAAAHvlXj8=")</f>
        <v>#REF!</v>
      </c>
      <c r="BM33" t="e">
        <f>AND(#REF!,"AAAAAHvlXkA=")</f>
        <v>#REF!</v>
      </c>
      <c r="BN33" t="e">
        <f>AND(#REF!,"AAAAAHvlXkE=")</f>
        <v>#REF!</v>
      </c>
      <c r="BO33" t="e">
        <f>IF(#REF!,"AAAAAHvlXkI=",0)</f>
        <v>#REF!</v>
      </c>
      <c r="BP33" t="e">
        <f>AND(#REF!,"AAAAAHvlXkM=")</f>
        <v>#REF!</v>
      </c>
      <c r="BQ33" t="e">
        <f>AND(#REF!,"AAAAAHvlXkQ=")</f>
        <v>#REF!</v>
      </c>
      <c r="BR33" t="e">
        <f>AND(#REF!,"AAAAAHvlXkU=")</f>
        <v>#REF!</v>
      </c>
      <c r="BS33" t="e">
        <f>AND(#REF!,"AAAAAHvlXkY=")</f>
        <v>#REF!</v>
      </c>
      <c r="BT33" t="e">
        <f>AND(#REF!,"AAAAAHvlXkc=")</f>
        <v>#REF!</v>
      </c>
      <c r="BU33" t="e">
        <f>AND(#REF!,"AAAAAHvlXkg=")</f>
        <v>#REF!</v>
      </c>
      <c r="BV33" t="e">
        <f>AND(#REF!,"AAAAAHvlXkk=")</f>
        <v>#REF!</v>
      </c>
      <c r="BW33" t="e">
        <f>AND(#REF!,"AAAAAHvlXko=")</f>
        <v>#REF!</v>
      </c>
      <c r="BX33" t="e">
        <f>AND(#REF!,"AAAAAHvlXks=")</f>
        <v>#REF!</v>
      </c>
      <c r="BY33" t="e">
        <f>AND(#REF!,"AAAAAHvlXkw=")</f>
        <v>#REF!</v>
      </c>
      <c r="BZ33" t="e">
        <f>AND(#REF!,"AAAAAHvlXk0=")</f>
        <v>#REF!</v>
      </c>
      <c r="CA33" t="e">
        <f>IF(#REF!,"AAAAAHvlXk4=",0)</f>
        <v>#REF!</v>
      </c>
      <c r="CB33" t="e">
        <f>AND(#REF!,"AAAAAHvlXk8=")</f>
        <v>#REF!</v>
      </c>
      <c r="CC33" t="e">
        <f>AND(#REF!,"AAAAAHvlXlA=")</f>
        <v>#REF!</v>
      </c>
      <c r="CD33" t="e">
        <f>AND(#REF!,"AAAAAHvlXlE=")</f>
        <v>#REF!</v>
      </c>
      <c r="CE33" t="e">
        <f>AND(#REF!,"AAAAAHvlXlI=")</f>
        <v>#REF!</v>
      </c>
      <c r="CF33" t="e">
        <f>AND(#REF!,"AAAAAHvlXlM=")</f>
        <v>#REF!</v>
      </c>
      <c r="CG33" t="e">
        <f>AND(#REF!,"AAAAAHvlXlQ=")</f>
        <v>#REF!</v>
      </c>
      <c r="CH33" t="e">
        <f>AND(#REF!,"AAAAAHvlXlU=")</f>
        <v>#REF!</v>
      </c>
      <c r="CI33" t="e">
        <f>AND(#REF!,"AAAAAHvlXlY=")</f>
        <v>#REF!</v>
      </c>
      <c r="CJ33" t="e">
        <f>AND(#REF!,"AAAAAHvlXlc=")</f>
        <v>#REF!</v>
      </c>
      <c r="CK33" t="e">
        <f>AND(#REF!,"AAAAAHvlXlg=")</f>
        <v>#REF!</v>
      </c>
      <c r="CL33" t="e">
        <f>AND(#REF!,"AAAAAHvlXlk=")</f>
        <v>#REF!</v>
      </c>
      <c r="CM33" t="e">
        <f>IF(#REF!,"AAAAAHvlXlo=",0)</f>
        <v>#REF!</v>
      </c>
      <c r="CN33" t="e">
        <f>AND(#REF!,"AAAAAHvlXls=")</f>
        <v>#REF!</v>
      </c>
      <c r="CO33" t="e">
        <f>AND(#REF!,"AAAAAHvlXlw=")</f>
        <v>#REF!</v>
      </c>
      <c r="CP33" t="e">
        <f>AND(#REF!,"AAAAAHvlXl0=")</f>
        <v>#REF!</v>
      </c>
      <c r="CQ33" t="e">
        <f>AND(#REF!,"AAAAAHvlXl4=")</f>
        <v>#REF!</v>
      </c>
      <c r="CR33" t="e">
        <f>AND(#REF!,"AAAAAHvlXl8=")</f>
        <v>#REF!</v>
      </c>
      <c r="CS33" t="e">
        <f>AND(#REF!,"AAAAAHvlXmA=")</f>
        <v>#REF!</v>
      </c>
      <c r="CT33" t="e">
        <f>AND(#REF!,"AAAAAHvlXmE=")</f>
        <v>#REF!</v>
      </c>
      <c r="CU33" t="e">
        <f>AND(#REF!,"AAAAAHvlXmI=")</f>
        <v>#REF!</v>
      </c>
      <c r="CV33" t="e">
        <f>AND(#REF!,"AAAAAHvlXmM=")</f>
        <v>#REF!</v>
      </c>
      <c r="CW33" t="e">
        <f>AND(#REF!,"AAAAAHvlXmQ=")</f>
        <v>#REF!</v>
      </c>
      <c r="CX33" t="e">
        <f>AND(#REF!,"AAAAAHvlXmU=")</f>
        <v>#REF!</v>
      </c>
      <c r="CY33" t="e">
        <f>IF(#REF!,"AAAAAHvlXmY=",0)</f>
        <v>#REF!</v>
      </c>
      <c r="CZ33" t="e">
        <f>AND(#REF!,"AAAAAHvlXmc=")</f>
        <v>#REF!</v>
      </c>
      <c r="DA33" t="e">
        <f>AND(#REF!,"AAAAAHvlXmg=")</f>
        <v>#REF!</v>
      </c>
      <c r="DB33" t="e">
        <f>AND(#REF!,"AAAAAHvlXmk=")</f>
        <v>#REF!</v>
      </c>
      <c r="DC33" t="e">
        <f>AND(#REF!,"AAAAAHvlXmo=")</f>
        <v>#REF!</v>
      </c>
      <c r="DD33" t="e">
        <f>AND(#REF!,"AAAAAHvlXms=")</f>
        <v>#REF!</v>
      </c>
      <c r="DE33" t="e">
        <f>AND(#REF!,"AAAAAHvlXmw=")</f>
        <v>#REF!</v>
      </c>
      <c r="DF33" t="e">
        <f>AND(#REF!,"AAAAAHvlXm0=")</f>
        <v>#REF!</v>
      </c>
      <c r="DG33" t="e">
        <f>AND(#REF!,"AAAAAHvlXm4=")</f>
        <v>#REF!</v>
      </c>
      <c r="DH33" t="e">
        <f>AND(#REF!,"AAAAAHvlXm8=")</f>
        <v>#REF!</v>
      </c>
      <c r="DI33" t="e">
        <f>AND(#REF!,"AAAAAHvlXnA=")</f>
        <v>#REF!</v>
      </c>
      <c r="DJ33" t="e">
        <f>AND(#REF!,"AAAAAHvlXnE=")</f>
        <v>#REF!</v>
      </c>
      <c r="DK33" t="e">
        <f>IF(#REF!,"AAAAAHvlXnI=",0)</f>
        <v>#REF!</v>
      </c>
      <c r="DL33" t="e">
        <f>AND(#REF!,"AAAAAHvlXnM=")</f>
        <v>#REF!</v>
      </c>
      <c r="DM33" t="e">
        <f>AND(#REF!,"AAAAAHvlXnQ=")</f>
        <v>#REF!</v>
      </c>
      <c r="DN33" t="e">
        <f>AND(#REF!,"AAAAAHvlXnU=")</f>
        <v>#REF!</v>
      </c>
      <c r="DO33" t="e">
        <f>AND(#REF!,"AAAAAHvlXnY=")</f>
        <v>#REF!</v>
      </c>
      <c r="DP33" t="e">
        <f>AND(#REF!,"AAAAAHvlXnc=")</f>
        <v>#REF!</v>
      </c>
      <c r="DQ33" t="e">
        <f>AND(#REF!,"AAAAAHvlXng=")</f>
        <v>#REF!</v>
      </c>
      <c r="DR33" t="e">
        <f>AND(#REF!,"AAAAAHvlXnk=")</f>
        <v>#REF!</v>
      </c>
      <c r="DS33" t="e">
        <f>AND(#REF!,"AAAAAHvlXno=")</f>
        <v>#REF!</v>
      </c>
      <c r="DT33" t="e">
        <f>AND(#REF!,"AAAAAHvlXns=")</f>
        <v>#REF!</v>
      </c>
      <c r="DU33" t="e">
        <f>AND(#REF!,"AAAAAHvlXnw=")</f>
        <v>#REF!</v>
      </c>
      <c r="DV33" t="e">
        <f>AND(#REF!,"AAAAAHvlXn0=")</f>
        <v>#REF!</v>
      </c>
      <c r="DW33" t="e">
        <f>IF(#REF!,"AAAAAHvlXn4=",0)</f>
        <v>#REF!</v>
      </c>
      <c r="DX33" t="e">
        <f>AND(#REF!,"AAAAAHvlXn8=")</f>
        <v>#REF!</v>
      </c>
      <c r="DY33" t="e">
        <f>AND(#REF!,"AAAAAHvlXoA=")</f>
        <v>#REF!</v>
      </c>
      <c r="DZ33" t="e">
        <f>AND(#REF!,"AAAAAHvlXoE=")</f>
        <v>#REF!</v>
      </c>
      <c r="EA33" t="e">
        <f>AND(#REF!,"AAAAAHvlXoI=")</f>
        <v>#REF!</v>
      </c>
      <c r="EB33" t="e">
        <f>AND(#REF!,"AAAAAHvlXoM=")</f>
        <v>#REF!</v>
      </c>
      <c r="EC33" t="e">
        <f>AND(#REF!,"AAAAAHvlXoQ=")</f>
        <v>#REF!</v>
      </c>
      <c r="ED33" t="e">
        <f>AND(#REF!,"AAAAAHvlXoU=")</f>
        <v>#REF!</v>
      </c>
      <c r="EE33" t="e">
        <f>AND(#REF!,"AAAAAHvlXoY=")</f>
        <v>#REF!</v>
      </c>
      <c r="EF33" t="e">
        <f>AND(#REF!,"AAAAAHvlXoc=")</f>
        <v>#REF!</v>
      </c>
      <c r="EG33" t="e">
        <f>AND(#REF!,"AAAAAHvlXog=")</f>
        <v>#REF!</v>
      </c>
      <c r="EH33" t="e">
        <f>AND(#REF!,"AAAAAHvlXok=")</f>
        <v>#REF!</v>
      </c>
      <c r="EI33" t="e">
        <f>IF(#REF!,"AAAAAHvlXoo=",0)</f>
        <v>#REF!</v>
      </c>
      <c r="EJ33" t="e">
        <f>AND(#REF!,"AAAAAHvlXos=")</f>
        <v>#REF!</v>
      </c>
      <c r="EK33" t="e">
        <f>AND(#REF!,"AAAAAHvlXow=")</f>
        <v>#REF!</v>
      </c>
      <c r="EL33" t="e">
        <f>AND(#REF!,"AAAAAHvlXo0=")</f>
        <v>#REF!</v>
      </c>
      <c r="EM33" t="e">
        <f>AND(#REF!,"AAAAAHvlXo4=")</f>
        <v>#REF!</v>
      </c>
      <c r="EN33" t="e">
        <f>AND(#REF!,"AAAAAHvlXo8=")</f>
        <v>#REF!</v>
      </c>
      <c r="EO33" t="e">
        <f>AND(#REF!,"AAAAAHvlXpA=")</f>
        <v>#REF!</v>
      </c>
      <c r="EP33" t="e">
        <f>AND(#REF!,"AAAAAHvlXpE=")</f>
        <v>#REF!</v>
      </c>
      <c r="EQ33" t="e">
        <f>AND(#REF!,"AAAAAHvlXpI=")</f>
        <v>#REF!</v>
      </c>
      <c r="ER33" t="e">
        <f>AND(#REF!,"AAAAAHvlXpM=")</f>
        <v>#REF!</v>
      </c>
      <c r="ES33" t="e">
        <f>AND(#REF!,"AAAAAHvlXpQ=")</f>
        <v>#REF!</v>
      </c>
      <c r="ET33" t="e">
        <f>AND(#REF!,"AAAAAHvlXpU=")</f>
        <v>#REF!</v>
      </c>
      <c r="EU33" t="e">
        <f>IF(#REF!,"AAAAAHvlXpY=",0)</f>
        <v>#REF!</v>
      </c>
      <c r="EV33" t="e">
        <f>AND(#REF!,"AAAAAHvlXpc=")</f>
        <v>#REF!</v>
      </c>
      <c r="EW33" t="e">
        <f>AND(#REF!,"AAAAAHvlXpg=")</f>
        <v>#REF!</v>
      </c>
      <c r="EX33" t="e">
        <f>AND(#REF!,"AAAAAHvlXpk=")</f>
        <v>#REF!</v>
      </c>
      <c r="EY33" t="e">
        <f>AND(#REF!,"AAAAAHvlXpo=")</f>
        <v>#REF!</v>
      </c>
      <c r="EZ33" t="e">
        <f>AND(#REF!,"AAAAAHvlXps=")</f>
        <v>#REF!</v>
      </c>
      <c r="FA33" t="e">
        <f>AND(#REF!,"AAAAAHvlXpw=")</f>
        <v>#REF!</v>
      </c>
      <c r="FB33" t="e">
        <f>AND(#REF!,"AAAAAHvlXp0=")</f>
        <v>#REF!</v>
      </c>
      <c r="FC33" t="e">
        <f>AND(#REF!,"AAAAAHvlXp4=")</f>
        <v>#REF!</v>
      </c>
      <c r="FD33" t="e">
        <f>AND(#REF!,"AAAAAHvlXp8=")</f>
        <v>#REF!</v>
      </c>
      <c r="FE33" t="e">
        <f>AND(#REF!,"AAAAAHvlXqA=")</f>
        <v>#REF!</v>
      </c>
      <c r="FF33" t="e">
        <f>AND(#REF!,"AAAAAHvlXqE=")</f>
        <v>#REF!</v>
      </c>
      <c r="FG33" t="e">
        <f>IF(#REF!,"AAAAAHvlXqI=",0)</f>
        <v>#REF!</v>
      </c>
      <c r="FH33" t="e">
        <f>AND(#REF!,"AAAAAHvlXqM=")</f>
        <v>#REF!</v>
      </c>
      <c r="FI33" t="e">
        <f>AND(#REF!,"AAAAAHvlXqQ=")</f>
        <v>#REF!</v>
      </c>
      <c r="FJ33" t="e">
        <f>AND(#REF!,"AAAAAHvlXqU=")</f>
        <v>#REF!</v>
      </c>
      <c r="FK33" t="e">
        <f>AND(#REF!,"AAAAAHvlXqY=")</f>
        <v>#REF!</v>
      </c>
      <c r="FL33" t="e">
        <f>AND(#REF!,"AAAAAHvlXqc=")</f>
        <v>#REF!</v>
      </c>
      <c r="FM33" t="e">
        <f>AND(#REF!,"AAAAAHvlXqg=")</f>
        <v>#REF!</v>
      </c>
      <c r="FN33" t="e">
        <f>AND(#REF!,"AAAAAHvlXqk=")</f>
        <v>#REF!</v>
      </c>
      <c r="FO33" t="e">
        <f>AND(#REF!,"AAAAAHvlXqo=")</f>
        <v>#REF!</v>
      </c>
      <c r="FP33" t="e">
        <f>AND(#REF!,"AAAAAHvlXqs=")</f>
        <v>#REF!</v>
      </c>
      <c r="FQ33" t="e">
        <f>AND(#REF!,"AAAAAHvlXqw=")</f>
        <v>#REF!</v>
      </c>
      <c r="FR33" t="e">
        <f>AND(#REF!,"AAAAAHvlXq0=")</f>
        <v>#REF!</v>
      </c>
      <c r="FS33" t="e">
        <f>IF(#REF!,"AAAAAHvlXq4=",0)</f>
        <v>#REF!</v>
      </c>
      <c r="FT33" t="e">
        <f>AND(#REF!,"AAAAAHvlXq8=")</f>
        <v>#REF!</v>
      </c>
      <c r="FU33" t="e">
        <f>AND(#REF!,"AAAAAHvlXrA=")</f>
        <v>#REF!</v>
      </c>
      <c r="FV33" t="e">
        <f>AND(#REF!,"AAAAAHvlXrE=")</f>
        <v>#REF!</v>
      </c>
      <c r="FW33" t="e">
        <f>AND(#REF!,"AAAAAHvlXrI=")</f>
        <v>#REF!</v>
      </c>
      <c r="FX33" t="e">
        <f>AND(#REF!,"AAAAAHvlXrM=")</f>
        <v>#REF!</v>
      </c>
      <c r="FY33" t="e">
        <f>AND(#REF!,"AAAAAHvlXrQ=")</f>
        <v>#REF!</v>
      </c>
      <c r="FZ33" t="e">
        <f>AND(#REF!,"AAAAAHvlXrU=")</f>
        <v>#REF!</v>
      </c>
      <c r="GA33" t="e">
        <f>AND(#REF!,"AAAAAHvlXrY=")</f>
        <v>#REF!</v>
      </c>
      <c r="GB33" t="e">
        <f>AND(#REF!,"AAAAAHvlXrc=")</f>
        <v>#REF!</v>
      </c>
      <c r="GC33" t="e">
        <f>AND(#REF!,"AAAAAHvlXrg=")</f>
        <v>#REF!</v>
      </c>
      <c r="GD33" t="e">
        <f>AND(#REF!,"AAAAAHvlXrk=")</f>
        <v>#REF!</v>
      </c>
      <c r="GE33" t="e">
        <f>IF(#REF!,"AAAAAHvlXro=",0)</f>
        <v>#REF!</v>
      </c>
      <c r="GF33" t="e">
        <f>AND(#REF!,"AAAAAHvlXrs=")</f>
        <v>#REF!</v>
      </c>
      <c r="GG33" t="e">
        <f>AND(#REF!,"AAAAAHvlXrw=")</f>
        <v>#REF!</v>
      </c>
      <c r="GH33" t="e">
        <f>AND(#REF!,"AAAAAHvlXr0=")</f>
        <v>#REF!</v>
      </c>
      <c r="GI33" t="e">
        <f>AND(#REF!,"AAAAAHvlXr4=")</f>
        <v>#REF!</v>
      </c>
      <c r="GJ33" t="e">
        <f>AND(#REF!,"AAAAAHvlXr8=")</f>
        <v>#REF!</v>
      </c>
      <c r="GK33" t="e">
        <f>AND(#REF!,"AAAAAHvlXsA=")</f>
        <v>#REF!</v>
      </c>
      <c r="GL33" t="e">
        <f>AND(#REF!,"AAAAAHvlXsE=")</f>
        <v>#REF!</v>
      </c>
      <c r="GM33" t="e">
        <f>AND(#REF!,"AAAAAHvlXsI=")</f>
        <v>#REF!</v>
      </c>
      <c r="GN33" t="e">
        <f>AND(#REF!,"AAAAAHvlXsM=")</f>
        <v>#REF!</v>
      </c>
      <c r="GO33" t="e">
        <f>AND(#REF!,"AAAAAHvlXsQ=")</f>
        <v>#REF!</v>
      </c>
      <c r="GP33" t="e">
        <f>AND(#REF!,"AAAAAHvlXsU=")</f>
        <v>#REF!</v>
      </c>
      <c r="GQ33" t="e">
        <f>IF(#REF!,"AAAAAHvlXsY=",0)</f>
        <v>#REF!</v>
      </c>
      <c r="GR33" t="e">
        <f>AND(#REF!,"AAAAAHvlXsc=")</f>
        <v>#REF!</v>
      </c>
      <c r="GS33" t="e">
        <f>AND(#REF!,"AAAAAHvlXsg=")</f>
        <v>#REF!</v>
      </c>
      <c r="GT33" t="e">
        <f>AND(#REF!,"AAAAAHvlXsk=")</f>
        <v>#REF!</v>
      </c>
      <c r="GU33" t="e">
        <f>AND(#REF!,"AAAAAHvlXso=")</f>
        <v>#REF!</v>
      </c>
      <c r="GV33" t="e">
        <f>AND(#REF!,"AAAAAHvlXss=")</f>
        <v>#REF!</v>
      </c>
      <c r="GW33" t="e">
        <f>AND(#REF!,"AAAAAHvlXsw=")</f>
        <v>#REF!</v>
      </c>
      <c r="GX33" t="e">
        <f>AND(#REF!,"AAAAAHvlXs0=")</f>
        <v>#REF!</v>
      </c>
      <c r="GY33" t="e">
        <f>AND(#REF!,"AAAAAHvlXs4=")</f>
        <v>#REF!</v>
      </c>
      <c r="GZ33" t="e">
        <f>AND(#REF!,"AAAAAHvlXs8=")</f>
        <v>#REF!</v>
      </c>
      <c r="HA33" t="e">
        <f>AND(#REF!,"AAAAAHvlXtA=")</f>
        <v>#REF!</v>
      </c>
      <c r="HB33" t="e">
        <f>AND(#REF!,"AAAAAHvlXtE=")</f>
        <v>#REF!</v>
      </c>
      <c r="HC33" t="e">
        <f>IF(#REF!,"AAAAAHvlXtI=",0)</f>
        <v>#REF!</v>
      </c>
      <c r="HD33" t="e">
        <f>AND(#REF!,"AAAAAHvlXtM=")</f>
        <v>#REF!</v>
      </c>
      <c r="HE33" t="e">
        <f>AND(#REF!,"AAAAAHvlXtQ=")</f>
        <v>#REF!</v>
      </c>
      <c r="HF33" t="e">
        <f>AND(#REF!,"AAAAAHvlXtU=")</f>
        <v>#REF!</v>
      </c>
      <c r="HG33" t="e">
        <f>AND(#REF!,"AAAAAHvlXtY=")</f>
        <v>#REF!</v>
      </c>
      <c r="HH33" t="e">
        <f>AND(#REF!,"AAAAAHvlXtc=")</f>
        <v>#REF!</v>
      </c>
      <c r="HI33" t="e">
        <f>AND(#REF!,"AAAAAHvlXtg=")</f>
        <v>#REF!</v>
      </c>
      <c r="HJ33" t="e">
        <f>AND(#REF!,"AAAAAHvlXtk=")</f>
        <v>#REF!</v>
      </c>
      <c r="HK33" t="e">
        <f>AND(#REF!,"AAAAAHvlXto=")</f>
        <v>#REF!</v>
      </c>
      <c r="HL33" t="e">
        <f>AND(#REF!,"AAAAAHvlXts=")</f>
        <v>#REF!</v>
      </c>
      <c r="HM33" t="e">
        <f>AND(#REF!,"AAAAAHvlXtw=")</f>
        <v>#REF!</v>
      </c>
      <c r="HN33" t="e">
        <f>AND(#REF!,"AAAAAHvlXt0=")</f>
        <v>#REF!</v>
      </c>
      <c r="HO33" t="e">
        <f>IF(#REF!,"AAAAAHvlXt4=",0)</f>
        <v>#REF!</v>
      </c>
      <c r="HP33" t="e">
        <f>AND(#REF!,"AAAAAHvlXt8=")</f>
        <v>#REF!</v>
      </c>
      <c r="HQ33" t="e">
        <f>AND(#REF!,"AAAAAHvlXuA=")</f>
        <v>#REF!</v>
      </c>
      <c r="HR33" t="e">
        <f>AND(#REF!,"AAAAAHvlXuE=")</f>
        <v>#REF!</v>
      </c>
      <c r="HS33" t="e">
        <f>AND(#REF!,"AAAAAHvlXuI=")</f>
        <v>#REF!</v>
      </c>
      <c r="HT33" t="e">
        <f>AND(#REF!,"AAAAAHvlXuM=")</f>
        <v>#REF!</v>
      </c>
      <c r="HU33" t="e">
        <f>AND(#REF!,"AAAAAHvlXuQ=")</f>
        <v>#REF!</v>
      </c>
      <c r="HV33" t="e">
        <f>AND(#REF!,"AAAAAHvlXuU=")</f>
        <v>#REF!</v>
      </c>
      <c r="HW33" t="e">
        <f>AND(#REF!,"AAAAAHvlXuY=")</f>
        <v>#REF!</v>
      </c>
      <c r="HX33" t="e">
        <f>AND(#REF!,"AAAAAHvlXuc=")</f>
        <v>#REF!</v>
      </c>
      <c r="HY33" t="e">
        <f>AND(#REF!,"AAAAAHvlXug=")</f>
        <v>#REF!</v>
      </c>
      <c r="HZ33" t="e">
        <f>AND(#REF!,"AAAAAHvlXuk=")</f>
        <v>#REF!</v>
      </c>
      <c r="IA33" t="e">
        <f>IF(#REF!,"AAAAAHvlXuo=",0)</f>
        <v>#REF!</v>
      </c>
      <c r="IB33" t="e">
        <f>AND(#REF!,"AAAAAHvlXus=")</f>
        <v>#REF!</v>
      </c>
      <c r="IC33" t="e">
        <f>AND(#REF!,"AAAAAHvlXuw=")</f>
        <v>#REF!</v>
      </c>
      <c r="ID33" t="e">
        <f>AND(#REF!,"AAAAAHvlXu0=")</f>
        <v>#REF!</v>
      </c>
      <c r="IE33" t="e">
        <f>AND(#REF!,"AAAAAHvlXu4=")</f>
        <v>#REF!</v>
      </c>
      <c r="IF33" t="e">
        <f>AND(#REF!,"AAAAAHvlXu8=")</f>
        <v>#REF!</v>
      </c>
      <c r="IG33" t="e">
        <f>AND(#REF!,"AAAAAHvlXvA=")</f>
        <v>#REF!</v>
      </c>
      <c r="IH33" t="e">
        <f>AND(#REF!,"AAAAAHvlXvE=")</f>
        <v>#REF!</v>
      </c>
      <c r="II33" t="e">
        <f>AND(#REF!,"AAAAAHvlXvI=")</f>
        <v>#REF!</v>
      </c>
      <c r="IJ33" t="e">
        <f>AND(#REF!,"AAAAAHvlXvM=")</f>
        <v>#REF!</v>
      </c>
      <c r="IK33" t="e">
        <f>AND(#REF!,"AAAAAHvlXvQ=")</f>
        <v>#REF!</v>
      </c>
      <c r="IL33" t="e">
        <f>AND(#REF!,"AAAAAHvlXvU=")</f>
        <v>#REF!</v>
      </c>
      <c r="IM33" t="e">
        <f>IF(#REF!,"AAAAAHvlXvY=",0)</f>
        <v>#REF!</v>
      </c>
      <c r="IN33" t="e">
        <f>AND(#REF!,"AAAAAHvlXvc=")</f>
        <v>#REF!</v>
      </c>
      <c r="IO33" t="e">
        <f>AND(#REF!,"AAAAAHvlXvg=")</f>
        <v>#REF!</v>
      </c>
      <c r="IP33" t="e">
        <f>AND(#REF!,"AAAAAHvlXvk=")</f>
        <v>#REF!</v>
      </c>
      <c r="IQ33" t="e">
        <f>AND(#REF!,"AAAAAHvlXvo=")</f>
        <v>#REF!</v>
      </c>
      <c r="IR33" t="e">
        <f>AND(#REF!,"AAAAAHvlXvs=")</f>
        <v>#REF!</v>
      </c>
      <c r="IS33" t="e">
        <f>AND(#REF!,"AAAAAHvlXvw=")</f>
        <v>#REF!</v>
      </c>
      <c r="IT33" t="e">
        <f>AND(#REF!,"AAAAAHvlXv0=")</f>
        <v>#REF!</v>
      </c>
      <c r="IU33" t="e">
        <f>AND(#REF!,"AAAAAHvlXv4=")</f>
        <v>#REF!</v>
      </c>
      <c r="IV33" t="e">
        <f>AND(#REF!,"AAAAAHvlXv8=")</f>
        <v>#REF!</v>
      </c>
    </row>
    <row r="34" spans="1:237" ht="15">
      <c r="A34" t="e">
        <f>AND(#REF!,"AAAAAEud1wA=")</f>
        <v>#REF!</v>
      </c>
      <c r="B34" t="e">
        <f>AND(#REF!,"AAAAAEud1wE=")</f>
        <v>#REF!</v>
      </c>
      <c r="C34" t="e">
        <f>IF(#REF!,"AAAAAEud1wI=",0)</f>
        <v>#REF!</v>
      </c>
      <c r="D34" t="e">
        <f>AND(#REF!,"AAAAAEud1wM=")</f>
        <v>#REF!</v>
      </c>
      <c r="E34" t="e">
        <f>AND(#REF!,"AAAAAEud1wQ=")</f>
        <v>#REF!</v>
      </c>
      <c r="F34" t="e">
        <f>AND(#REF!,"AAAAAEud1wU=")</f>
        <v>#REF!</v>
      </c>
      <c r="G34" t="e">
        <f>AND(#REF!,"AAAAAEud1wY=")</f>
        <v>#REF!</v>
      </c>
      <c r="H34" t="e">
        <f>AND(#REF!,"AAAAAEud1wc=")</f>
        <v>#REF!</v>
      </c>
      <c r="I34" t="e">
        <f>AND(#REF!,"AAAAAEud1wg=")</f>
        <v>#REF!</v>
      </c>
      <c r="J34" t="e">
        <f>AND(#REF!,"AAAAAEud1wk=")</f>
        <v>#REF!</v>
      </c>
      <c r="K34" t="e">
        <f>AND(#REF!,"AAAAAEud1wo=")</f>
        <v>#REF!</v>
      </c>
      <c r="L34" t="e">
        <f>AND(#REF!,"AAAAAEud1ws=")</f>
        <v>#REF!</v>
      </c>
      <c r="M34" t="e">
        <f>AND(#REF!,"AAAAAEud1ww=")</f>
        <v>#REF!</v>
      </c>
      <c r="N34" t="e">
        <f>AND(#REF!,"AAAAAEud1w0=")</f>
        <v>#REF!</v>
      </c>
      <c r="O34" t="e">
        <f>IF(#REF!,"AAAAAEud1w4=",0)</f>
        <v>#REF!</v>
      </c>
      <c r="P34" t="e">
        <f>AND(#REF!,"AAAAAEud1w8=")</f>
        <v>#REF!</v>
      </c>
      <c r="Q34" t="e">
        <f>AND(#REF!,"AAAAAEud1xA=")</f>
        <v>#REF!</v>
      </c>
      <c r="R34" t="e">
        <f>AND(#REF!,"AAAAAEud1xE=")</f>
        <v>#REF!</v>
      </c>
      <c r="S34" t="e">
        <f>AND(#REF!,"AAAAAEud1xI=")</f>
        <v>#REF!</v>
      </c>
      <c r="T34" t="e">
        <f>AND(#REF!,"AAAAAEud1xM=")</f>
        <v>#REF!</v>
      </c>
      <c r="U34" t="e">
        <f>AND(#REF!,"AAAAAEud1xQ=")</f>
        <v>#REF!</v>
      </c>
      <c r="V34" t="e">
        <f>AND(#REF!,"AAAAAEud1xU=")</f>
        <v>#REF!</v>
      </c>
      <c r="W34" t="e">
        <f>AND(#REF!,"AAAAAEud1xY=")</f>
        <v>#REF!</v>
      </c>
      <c r="X34" t="e">
        <f>AND(#REF!,"AAAAAEud1xc=")</f>
        <v>#REF!</v>
      </c>
      <c r="Y34" t="e">
        <f>AND(#REF!,"AAAAAEud1xg=")</f>
        <v>#REF!</v>
      </c>
      <c r="Z34" t="e">
        <f>AND(#REF!,"AAAAAEud1xk=")</f>
        <v>#REF!</v>
      </c>
      <c r="AA34" t="e">
        <f>IF(#REF!,"AAAAAEud1xo=",0)</f>
        <v>#REF!</v>
      </c>
      <c r="AB34" t="e">
        <f>AND(#REF!,"AAAAAEud1xs=")</f>
        <v>#REF!</v>
      </c>
      <c r="AC34" t="e">
        <f>AND(#REF!,"AAAAAEud1xw=")</f>
        <v>#REF!</v>
      </c>
      <c r="AD34" t="e">
        <f>AND(#REF!,"AAAAAEud1x0=")</f>
        <v>#REF!</v>
      </c>
      <c r="AE34" t="e">
        <f>AND(#REF!,"AAAAAEud1x4=")</f>
        <v>#REF!</v>
      </c>
      <c r="AF34" t="e">
        <f>AND(#REF!,"AAAAAEud1x8=")</f>
        <v>#REF!</v>
      </c>
      <c r="AG34" t="e">
        <f>AND(#REF!,"AAAAAEud1yA=")</f>
        <v>#REF!</v>
      </c>
      <c r="AH34" t="e">
        <f>AND(#REF!,"AAAAAEud1yE=")</f>
        <v>#REF!</v>
      </c>
      <c r="AI34" t="e">
        <f>AND(#REF!,"AAAAAEud1yI=")</f>
        <v>#REF!</v>
      </c>
      <c r="AJ34" t="e">
        <f>AND(#REF!,"AAAAAEud1yM=")</f>
        <v>#REF!</v>
      </c>
      <c r="AK34" t="e">
        <f>AND(#REF!,"AAAAAEud1yQ=")</f>
        <v>#REF!</v>
      </c>
      <c r="AL34" t="e">
        <f>AND(#REF!,"AAAAAEud1yU=")</f>
        <v>#REF!</v>
      </c>
      <c r="AM34" t="e">
        <f>IF(#REF!,"AAAAAEud1yY=",0)</f>
        <v>#REF!</v>
      </c>
      <c r="AN34" t="e">
        <f>AND(#REF!,"AAAAAEud1yc=")</f>
        <v>#REF!</v>
      </c>
      <c r="AO34" t="e">
        <f>AND(#REF!,"AAAAAEud1yg=")</f>
        <v>#REF!</v>
      </c>
      <c r="AP34" t="e">
        <f>AND(#REF!,"AAAAAEud1yk=")</f>
        <v>#REF!</v>
      </c>
      <c r="AQ34" t="e">
        <f>AND(#REF!,"AAAAAEud1yo=")</f>
        <v>#REF!</v>
      </c>
      <c r="AR34" t="e">
        <f>AND(#REF!,"AAAAAEud1ys=")</f>
        <v>#REF!</v>
      </c>
      <c r="AS34" t="e">
        <f>AND(#REF!,"AAAAAEud1yw=")</f>
        <v>#REF!</v>
      </c>
      <c r="AT34" t="e">
        <f>AND(#REF!,"AAAAAEud1y0=")</f>
        <v>#REF!</v>
      </c>
      <c r="AU34" t="e">
        <f>AND(#REF!,"AAAAAEud1y4=")</f>
        <v>#REF!</v>
      </c>
      <c r="AV34" t="e">
        <f>AND(#REF!,"AAAAAEud1y8=")</f>
        <v>#REF!</v>
      </c>
      <c r="AW34" t="e">
        <f>AND(#REF!,"AAAAAEud1zA=")</f>
        <v>#REF!</v>
      </c>
      <c r="AX34" t="e">
        <f>AND(#REF!,"AAAAAEud1zE=")</f>
        <v>#REF!</v>
      </c>
      <c r="AY34" t="e">
        <f>IF(#REF!,"AAAAAEud1zI=",0)</f>
        <v>#REF!</v>
      </c>
      <c r="AZ34" t="e">
        <f>AND(#REF!,"AAAAAEud1zM=")</f>
        <v>#REF!</v>
      </c>
      <c r="BA34" t="e">
        <f>AND(#REF!,"AAAAAEud1zQ=")</f>
        <v>#REF!</v>
      </c>
      <c r="BB34" t="e">
        <f>AND(#REF!,"AAAAAEud1zU=")</f>
        <v>#REF!</v>
      </c>
      <c r="BC34" t="e">
        <f>AND(#REF!,"AAAAAEud1zY=")</f>
        <v>#REF!</v>
      </c>
      <c r="BD34" t="e">
        <f>AND(#REF!,"AAAAAEud1zc=")</f>
        <v>#REF!</v>
      </c>
      <c r="BE34" t="e">
        <f>AND(#REF!,"AAAAAEud1zg=")</f>
        <v>#REF!</v>
      </c>
      <c r="BF34" t="e">
        <f>AND(#REF!,"AAAAAEud1zk=")</f>
        <v>#REF!</v>
      </c>
      <c r="BG34" t="e">
        <f>AND(#REF!,"AAAAAEud1zo=")</f>
        <v>#REF!</v>
      </c>
      <c r="BH34" t="e">
        <f>AND(#REF!,"AAAAAEud1zs=")</f>
        <v>#REF!</v>
      </c>
      <c r="BI34" t="e">
        <f>AND(#REF!,"AAAAAEud1zw=")</f>
        <v>#REF!</v>
      </c>
      <c r="BJ34" t="e">
        <f>AND(#REF!,"AAAAAEud1z0=")</f>
        <v>#REF!</v>
      </c>
      <c r="BK34" t="e">
        <f>IF(#REF!,"AAAAAEud1z4=",0)</f>
        <v>#REF!</v>
      </c>
      <c r="BL34" t="e">
        <f>AND(#REF!,"AAAAAEud1z8=")</f>
        <v>#REF!</v>
      </c>
      <c r="BM34" t="e">
        <f>AND(#REF!,"AAAAAEud10A=")</f>
        <v>#REF!</v>
      </c>
      <c r="BN34" t="e">
        <f>AND(#REF!,"AAAAAEud10E=")</f>
        <v>#REF!</v>
      </c>
      <c r="BO34" t="e">
        <f>AND(#REF!,"AAAAAEud10I=")</f>
        <v>#REF!</v>
      </c>
      <c r="BP34" t="e">
        <f>AND(#REF!,"AAAAAEud10M=")</f>
        <v>#REF!</v>
      </c>
      <c r="BQ34" t="e">
        <f>AND(#REF!,"AAAAAEud10Q=")</f>
        <v>#REF!</v>
      </c>
      <c r="BR34" t="e">
        <f>AND(#REF!,"AAAAAEud10U=")</f>
        <v>#REF!</v>
      </c>
      <c r="BS34" t="e">
        <f>AND(#REF!,"AAAAAEud10Y=")</f>
        <v>#REF!</v>
      </c>
      <c r="BT34" t="e">
        <f>AND(#REF!,"AAAAAEud10c=")</f>
        <v>#REF!</v>
      </c>
      <c r="BU34" t="e">
        <f>AND(#REF!,"AAAAAEud10g=")</f>
        <v>#REF!</v>
      </c>
      <c r="BV34" t="e">
        <f>AND(#REF!,"AAAAAEud10k=")</f>
        <v>#REF!</v>
      </c>
      <c r="BW34" t="e">
        <f>IF(#REF!,"AAAAAEud10o=",0)</f>
        <v>#REF!</v>
      </c>
      <c r="BX34" t="e">
        <f>AND(#REF!,"AAAAAEud10s=")</f>
        <v>#REF!</v>
      </c>
      <c r="BY34" t="e">
        <f>AND(#REF!,"AAAAAEud10w=")</f>
        <v>#REF!</v>
      </c>
      <c r="BZ34" t="e">
        <f>AND(#REF!,"AAAAAEud100=")</f>
        <v>#REF!</v>
      </c>
      <c r="CA34" t="e">
        <f>AND(#REF!,"AAAAAEud104=")</f>
        <v>#REF!</v>
      </c>
      <c r="CB34" t="e">
        <f>AND(#REF!,"AAAAAEud108=")</f>
        <v>#REF!</v>
      </c>
      <c r="CC34" t="e">
        <f>AND(#REF!,"AAAAAEud11A=")</f>
        <v>#REF!</v>
      </c>
      <c r="CD34" t="e">
        <f>AND(#REF!,"AAAAAEud11E=")</f>
        <v>#REF!</v>
      </c>
      <c r="CE34" t="e">
        <f>AND(#REF!,"AAAAAEud11I=")</f>
        <v>#REF!</v>
      </c>
      <c r="CF34" t="e">
        <f>AND(#REF!,"AAAAAEud11M=")</f>
        <v>#REF!</v>
      </c>
      <c r="CG34" t="e">
        <f>AND(#REF!,"AAAAAEud11Q=")</f>
        <v>#REF!</v>
      </c>
      <c r="CH34" t="e">
        <f>AND(#REF!,"AAAAAEud11U=")</f>
        <v>#REF!</v>
      </c>
      <c r="CI34" t="e">
        <f>IF(#REF!,"AAAAAEud11Y=",0)</f>
        <v>#REF!</v>
      </c>
      <c r="CJ34" t="e">
        <f>AND(#REF!,"AAAAAEud11c=")</f>
        <v>#REF!</v>
      </c>
      <c r="CK34" t="e">
        <f>AND(#REF!,"AAAAAEud11g=")</f>
        <v>#REF!</v>
      </c>
      <c r="CL34" t="e">
        <f>AND(#REF!,"AAAAAEud11k=")</f>
        <v>#REF!</v>
      </c>
      <c r="CM34" t="e">
        <f>AND(#REF!,"AAAAAEud11o=")</f>
        <v>#REF!</v>
      </c>
      <c r="CN34" t="e">
        <f>AND(#REF!,"AAAAAEud11s=")</f>
        <v>#REF!</v>
      </c>
      <c r="CO34" t="e">
        <f>AND(#REF!,"AAAAAEud11w=")</f>
        <v>#REF!</v>
      </c>
      <c r="CP34" t="e">
        <f>AND(#REF!,"AAAAAEud110=")</f>
        <v>#REF!</v>
      </c>
      <c r="CQ34" t="e">
        <f>AND(#REF!,"AAAAAEud114=")</f>
        <v>#REF!</v>
      </c>
      <c r="CR34" t="e">
        <f>AND(#REF!,"AAAAAEud118=")</f>
        <v>#REF!</v>
      </c>
      <c r="CS34" t="e">
        <f>AND(#REF!,"AAAAAEud12A=")</f>
        <v>#REF!</v>
      </c>
      <c r="CT34" t="e">
        <f>AND(#REF!,"AAAAAEud12E=")</f>
        <v>#REF!</v>
      </c>
      <c r="CU34" t="e">
        <f>IF(#REF!,"AAAAAEud12I=",0)</f>
        <v>#REF!</v>
      </c>
      <c r="CV34" t="e">
        <f>AND(#REF!,"AAAAAEud12M=")</f>
        <v>#REF!</v>
      </c>
      <c r="CW34" t="e">
        <f>AND(#REF!,"AAAAAEud12Q=")</f>
        <v>#REF!</v>
      </c>
      <c r="CX34" t="e">
        <f>AND(#REF!,"AAAAAEud12U=")</f>
        <v>#REF!</v>
      </c>
      <c r="CY34" t="e">
        <f>AND(#REF!,"AAAAAEud12Y=")</f>
        <v>#REF!</v>
      </c>
      <c r="CZ34" t="e">
        <f>AND(#REF!,"AAAAAEud12c=")</f>
        <v>#REF!</v>
      </c>
      <c r="DA34" t="e">
        <f>AND(#REF!,"AAAAAEud12g=")</f>
        <v>#REF!</v>
      </c>
      <c r="DB34" t="e">
        <f>AND(#REF!,"AAAAAEud12k=")</f>
        <v>#REF!</v>
      </c>
      <c r="DC34" t="e">
        <f>AND(#REF!,"AAAAAEud12o=")</f>
        <v>#REF!</v>
      </c>
      <c r="DD34" t="e">
        <f>AND(#REF!,"AAAAAEud12s=")</f>
        <v>#REF!</v>
      </c>
      <c r="DE34" t="e">
        <f>AND(#REF!,"AAAAAEud12w=")</f>
        <v>#REF!</v>
      </c>
      <c r="DF34" t="e">
        <f>AND(#REF!,"AAAAAEud120=")</f>
        <v>#REF!</v>
      </c>
      <c r="DG34" t="e">
        <f>IF(#REF!,"AAAAAEud124=",0)</f>
        <v>#REF!</v>
      </c>
      <c r="DH34" t="e">
        <f>AND(#REF!,"AAAAAEud128=")</f>
        <v>#REF!</v>
      </c>
      <c r="DI34" t="e">
        <f>AND(#REF!,"AAAAAEud13A=")</f>
        <v>#REF!</v>
      </c>
      <c r="DJ34" t="e">
        <f>AND(#REF!,"AAAAAEud13E=")</f>
        <v>#REF!</v>
      </c>
      <c r="DK34" t="e">
        <f>AND(#REF!,"AAAAAEud13I=")</f>
        <v>#REF!</v>
      </c>
      <c r="DL34" t="e">
        <f>AND(#REF!,"AAAAAEud13M=")</f>
        <v>#REF!</v>
      </c>
      <c r="DM34" t="e">
        <f>AND(#REF!,"AAAAAEud13Q=")</f>
        <v>#REF!</v>
      </c>
      <c r="DN34" t="e">
        <f>AND(#REF!,"AAAAAEud13U=")</f>
        <v>#REF!</v>
      </c>
      <c r="DO34" t="e">
        <f>AND(#REF!,"AAAAAEud13Y=")</f>
        <v>#REF!</v>
      </c>
      <c r="DP34" t="e">
        <f>AND(#REF!,"AAAAAEud13c=")</f>
        <v>#REF!</v>
      </c>
      <c r="DQ34" t="e">
        <f>AND(#REF!,"AAAAAEud13g=")</f>
        <v>#REF!</v>
      </c>
      <c r="DR34" t="e">
        <f>AND(#REF!,"AAAAAEud13k=")</f>
        <v>#REF!</v>
      </c>
      <c r="DS34" t="e">
        <f>IF(#REF!,"AAAAAEud13o=",0)</f>
        <v>#REF!</v>
      </c>
      <c r="DT34" t="e">
        <f>AND(#REF!,"AAAAAEud13s=")</f>
        <v>#REF!</v>
      </c>
      <c r="DU34" t="e">
        <f>AND(#REF!,"AAAAAEud13w=")</f>
        <v>#REF!</v>
      </c>
      <c r="DV34" t="e">
        <f>AND(#REF!,"AAAAAEud130=")</f>
        <v>#REF!</v>
      </c>
      <c r="DW34" t="e">
        <f>AND(#REF!,"AAAAAEud134=")</f>
        <v>#REF!</v>
      </c>
      <c r="DX34" t="e">
        <f>AND(#REF!,"AAAAAEud138=")</f>
        <v>#REF!</v>
      </c>
      <c r="DY34" t="e">
        <f>AND(#REF!,"AAAAAEud14A=")</f>
        <v>#REF!</v>
      </c>
      <c r="DZ34" t="e">
        <f>AND(#REF!,"AAAAAEud14E=")</f>
        <v>#REF!</v>
      </c>
      <c r="EA34" t="e">
        <f>AND(#REF!,"AAAAAEud14I=")</f>
        <v>#REF!</v>
      </c>
      <c r="EB34" t="e">
        <f>AND(#REF!,"AAAAAEud14M=")</f>
        <v>#REF!</v>
      </c>
      <c r="EC34" t="e">
        <f>AND(#REF!,"AAAAAEud14Q=")</f>
        <v>#REF!</v>
      </c>
      <c r="ED34" t="e">
        <f>AND(#REF!,"AAAAAEud14U=")</f>
        <v>#REF!</v>
      </c>
      <c r="EE34" t="e">
        <f>IF(#REF!,"AAAAAEud14Y=",0)</f>
        <v>#REF!</v>
      </c>
      <c r="EF34" t="e">
        <f>AND(#REF!,"AAAAAEud14c=")</f>
        <v>#REF!</v>
      </c>
      <c r="EG34" t="e">
        <f>AND(#REF!,"AAAAAEud14g=")</f>
        <v>#REF!</v>
      </c>
      <c r="EH34" t="e">
        <f>AND(#REF!,"AAAAAEud14k=")</f>
        <v>#REF!</v>
      </c>
      <c r="EI34" t="e">
        <f>AND(#REF!,"AAAAAEud14o=")</f>
        <v>#REF!</v>
      </c>
      <c r="EJ34" t="e">
        <f>AND(#REF!,"AAAAAEud14s=")</f>
        <v>#REF!</v>
      </c>
      <c r="EK34" t="e">
        <f>AND(#REF!,"AAAAAEud14w=")</f>
        <v>#REF!</v>
      </c>
      <c r="EL34" t="e">
        <f>AND(#REF!,"AAAAAEud140=")</f>
        <v>#REF!</v>
      </c>
      <c r="EM34" t="e">
        <f>AND(#REF!,"AAAAAEud144=")</f>
        <v>#REF!</v>
      </c>
      <c r="EN34" t="e">
        <f>AND(#REF!,"AAAAAEud148=")</f>
        <v>#REF!</v>
      </c>
      <c r="EO34" t="e">
        <f>AND(#REF!,"AAAAAEud15A=")</f>
        <v>#REF!</v>
      </c>
      <c r="EP34" t="e">
        <f>AND(#REF!,"AAAAAEud15E=")</f>
        <v>#REF!</v>
      </c>
      <c r="EQ34" t="e">
        <f>IF(#REF!,"AAAAAEud15I=",0)</f>
        <v>#REF!</v>
      </c>
      <c r="ER34" t="e">
        <f>AND(#REF!,"AAAAAEud15M=")</f>
        <v>#REF!</v>
      </c>
      <c r="ES34" t="e">
        <f>AND(#REF!,"AAAAAEud15Q=")</f>
        <v>#REF!</v>
      </c>
      <c r="ET34" t="e">
        <f>AND(#REF!,"AAAAAEud15U=")</f>
        <v>#REF!</v>
      </c>
      <c r="EU34" t="e">
        <f>AND(#REF!,"AAAAAEud15Y=")</f>
        <v>#REF!</v>
      </c>
      <c r="EV34" t="e">
        <f>AND(#REF!,"AAAAAEud15c=")</f>
        <v>#REF!</v>
      </c>
      <c r="EW34" t="e">
        <f>AND(#REF!,"AAAAAEud15g=")</f>
        <v>#REF!</v>
      </c>
      <c r="EX34" t="e">
        <f>AND(#REF!,"AAAAAEud15k=")</f>
        <v>#REF!</v>
      </c>
      <c r="EY34" t="e">
        <f>AND(#REF!,"AAAAAEud15o=")</f>
        <v>#REF!</v>
      </c>
      <c r="EZ34" t="e">
        <f>AND(#REF!,"AAAAAEud15s=")</f>
        <v>#REF!</v>
      </c>
      <c r="FA34" t="e">
        <f>AND(#REF!,"AAAAAEud15w=")</f>
        <v>#REF!</v>
      </c>
      <c r="FB34" t="e">
        <f>AND(#REF!,"AAAAAEud150=")</f>
        <v>#REF!</v>
      </c>
      <c r="FC34" t="e">
        <f>IF(#REF!,"AAAAAEud154=",0)</f>
        <v>#REF!</v>
      </c>
      <c r="FD34" t="e">
        <f>AND(#REF!,"AAAAAEud158=")</f>
        <v>#REF!</v>
      </c>
      <c r="FE34" t="e">
        <f>AND(#REF!,"AAAAAEud16A=")</f>
        <v>#REF!</v>
      </c>
      <c r="FF34" t="e">
        <f>AND(#REF!,"AAAAAEud16E=")</f>
        <v>#REF!</v>
      </c>
      <c r="FG34" t="e">
        <f>AND(#REF!,"AAAAAEud16I=")</f>
        <v>#REF!</v>
      </c>
      <c r="FH34" t="e">
        <f>AND(#REF!,"AAAAAEud16M=")</f>
        <v>#REF!</v>
      </c>
      <c r="FI34" t="e">
        <f>AND(#REF!,"AAAAAEud16Q=")</f>
        <v>#REF!</v>
      </c>
      <c r="FJ34" t="e">
        <f>AND(#REF!,"AAAAAEud16U=")</f>
        <v>#REF!</v>
      </c>
      <c r="FK34" t="e">
        <f>AND(#REF!,"AAAAAEud16Y=")</f>
        <v>#REF!</v>
      </c>
      <c r="FL34" t="e">
        <f>AND(#REF!,"AAAAAEud16c=")</f>
        <v>#REF!</v>
      </c>
      <c r="FM34" t="e">
        <f>AND(#REF!,"AAAAAEud16g=")</f>
        <v>#REF!</v>
      </c>
      <c r="FN34" t="e">
        <f>AND(#REF!,"AAAAAEud16k=")</f>
        <v>#REF!</v>
      </c>
      <c r="FO34" t="e">
        <f>IF(#REF!,"AAAAAEud16o=",0)</f>
        <v>#REF!</v>
      </c>
      <c r="FP34" t="e">
        <f>AND(#REF!,"AAAAAEud16s=")</f>
        <v>#REF!</v>
      </c>
      <c r="FQ34" t="e">
        <f>AND(#REF!,"AAAAAEud16w=")</f>
        <v>#REF!</v>
      </c>
      <c r="FR34" t="e">
        <f>AND(#REF!,"AAAAAEud160=")</f>
        <v>#REF!</v>
      </c>
      <c r="FS34" t="e">
        <f>AND(#REF!,"AAAAAEud164=")</f>
        <v>#REF!</v>
      </c>
      <c r="FT34" t="e">
        <f>AND(#REF!,"AAAAAEud168=")</f>
        <v>#REF!</v>
      </c>
      <c r="FU34" t="e">
        <f>AND(#REF!,"AAAAAEud17A=")</f>
        <v>#REF!</v>
      </c>
      <c r="FV34" t="e">
        <f>AND(#REF!,"AAAAAEud17E=")</f>
        <v>#REF!</v>
      </c>
      <c r="FW34" t="e">
        <f>AND(#REF!,"AAAAAEud17I=")</f>
        <v>#REF!</v>
      </c>
      <c r="FX34" t="e">
        <f>AND(#REF!,"AAAAAEud17M=")</f>
        <v>#REF!</v>
      </c>
      <c r="FY34" t="e">
        <f>AND(#REF!,"AAAAAEud17Q=")</f>
        <v>#REF!</v>
      </c>
      <c r="FZ34" t="e">
        <f>AND(#REF!,"AAAAAEud17U=")</f>
        <v>#REF!</v>
      </c>
      <c r="GA34" t="e">
        <f>IF(#REF!,"AAAAAEud17Y=",0)</f>
        <v>#REF!</v>
      </c>
      <c r="GB34" t="e">
        <f>IF(#REF!,"AAAAAEud17c=",0)</f>
        <v>#REF!</v>
      </c>
      <c r="GC34" t="e">
        <f>IF(#REF!,"AAAAAEud17g=",0)</f>
        <v>#REF!</v>
      </c>
      <c r="GD34" t="e">
        <f>IF(#REF!,"AAAAAEud17k=",0)</f>
        <v>#REF!</v>
      </c>
      <c r="GE34" t="e">
        <f>IF(#REF!,"AAAAAEud17o=",0)</f>
        <v>#REF!</v>
      </c>
      <c r="GF34" t="e">
        <f>IF(#REF!,"AAAAAEud17s=",0)</f>
        <v>#REF!</v>
      </c>
      <c r="GG34" t="e">
        <f>IF(#REF!,"AAAAAEud17w=",0)</f>
        <v>#REF!</v>
      </c>
      <c r="GH34" t="e">
        <f>IF(#REF!,"AAAAAEud170=",0)</f>
        <v>#REF!</v>
      </c>
      <c r="GI34" t="e">
        <f>IF(#REF!,"AAAAAEud174=",0)</f>
        <v>#REF!</v>
      </c>
      <c r="GJ34" t="e">
        <f>IF(#REF!,"AAAAAEud178=",0)</f>
        <v>#REF!</v>
      </c>
      <c r="GK34" t="e">
        <f>IF(#REF!,"AAAAAEud18A=",0)</f>
        <v>#REF!</v>
      </c>
      <c r="GL34" t="e">
        <f>IF(#REF!,"AAAAAEud18E=",0)</f>
        <v>#REF!</v>
      </c>
      <c r="GM34" t="e">
        <f>IF(#REF!,"AAAAAEud18I=",0)</f>
        <v>#REF!</v>
      </c>
      <c r="GN34" t="e">
        <f>IF(#REF!,"AAAAAEud18M=",0)</f>
        <v>#REF!</v>
      </c>
      <c r="GO34" s="102" t="s">
        <v>27</v>
      </c>
      <c r="GP34" t="s">
        <v>28</v>
      </c>
      <c r="GQ34" s="103" t="s">
        <v>29</v>
      </c>
      <c r="GR34" s="104" t="s">
        <v>30</v>
      </c>
      <c r="GS34" s="105" t="s">
        <v>31</v>
      </c>
      <c r="GT34" t="e">
        <v>#VALUE!</v>
      </c>
      <c r="GU34" t="e">
        <v>#VALUE!</v>
      </c>
      <c r="GV34" t="e">
        <v>#VALUE!</v>
      </c>
      <c r="GW34" t="e">
        <v>#VALUE!</v>
      </c>
      <c r="GX34" t="e">
        <v>#VALUE!</v>
      </c>
      <c r="GY34" t="e">
        <v>#VALUE!</v>
      </c>
      <c r="GZ34" t="e">
        <v>#VALUE!</v>
      </c>
      <c r="HA34" t="e">
        <v>#VALUE!</v>
      </c>
      <c r="HB34" t="e">
        <v>#VALUE!</v>
      </c>
      <c r="HC34" t="e">
        <v>#VALUE!</v>
      </c>
      <c r="HD34" t="e">
        <v>#VALUE!</v>
      </c>
      <c r="HE34" t="e">
        <v>#VALUE!</v>
      </c>
      <c r="HF34" t="e">
        <v>#VALUE!</v>
      </c>
      <c r="HG34" t="e">
        <v>#VALUE!</v>
      </c>
      <c r="HH34" t="e">
        <v>#VALUE!</v>
      </c>
      <c r="HI34" t="e">
        <v>#VALUE!</v>
      </c>
      <c r="HJ34" t="e">
        <v>#VALUE!</v>
      </c>
      <c r="HK34" t="e">
        <v>#VALUE!</v>
      </c>
      <c r="HL34" t="e">
        <v>#VALUE!</v>
      </c>
      <c r="HM34" t="e">
        <v>#VALUE!</v>
      </c>
      <c r="HN34" t="e">
        <v>#VALUE!</v>
      </c>
      <c r="HO34" t="e">
        <v>#VALUE!</v>
      </c>
      <c r="HP34" t="e">
        <v>#VALUE!</v>
      </c>
      <c r="HQ34" t="e">
        <v>#VALUE!</v>
      </c>
      <c r="HR34" t="e">
        <f>IF("N",[0]!PRINT_AREA,"AAAAAEud1+E=")</f>
        <v>#VALUE!</v>
      </c>
      <c r="HS34" t="e">
        <f>IF("N",[0]!PRINT_AREA,"AAAAAEud1+I=")</f>
        <v>#VALUE!</v>
      </c>
      <c r="HT34" t="e">
        <f>IF("N",[0]!PRINT_AREA,"AAAAAEud1+M=")</f>
        <v>#VALUE!</v>
      </c>
      <c r="HU34" t="e">
        <f>IF("N",[0]!PRINT_AREA,"AAAAAEud1+Q=")</f>
        <v>#VALUE!</v>
      </c>
      <c r="HV34" t="e">
        <f>IF("N",[0]!PRINT_AREA,"AAAAAEud1+U=")</f>
        <v>#VALUE!</v>
      </c>
      <c r="HW34" t="e">
        <f>IF("N",[0]!PRINT_AREA,"AAAAAEud1+Y=")</f>
        <v>#VALUE!</v>
      </c>
      <c r="HX34" t="e">
        <f>IF("N",[0]!PRINT_AREA,"AAAAAEud1+c=")</f>
        <v>#VALUE!</v>
      </c>
      <c r="HY34" t="e">
        <f>IF("N",[0]!PRINT_AREA,"AAAAAEud1+g=")</f>
        <v>#VALUE!</v>
      </c>
      <c r="HZ34" t="e">
        <f>IF("N",[0]!PRINT_AREA,"AAAAAEud1+k=")</f>
        <v>#VALUE!</v>
      </c>
      <c r="IA34" t="e">
        <f>IF("N",[0]!PRINT_AREA,"AAAAAEud1+o=")</f>
        <v>#VALUE!</v>
      </c>
      <c r="IB34" t="e">
        <f>IF("N",[0]!PRINT_AREA,"AAAAAEud1+s=")</f>
        <v>#VALUE!</v>
      </c>
      <c r="IC34" t="e">
        <f>IF("N",[0]!PRINT_AREA,"AAAAAEud1+w=")</f>
        <v>#VALUE!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BT35"/>
  <sheetViews>
    <sheetView view="pageBreakPreview" zoomScale="75" zoomScaleNormal="80" zoomScaleSheetLayoutView="75" zoomScalePageLayoutView="0" workbookViewId="0" topLeftCell="A1">
      <selection activeCell="L27" sqref="L27:M27"/>
    </sheetView>
  </sheetViews>
  <sheetFormatPr defaultColWidth="9.140625" defaultRowHeight="15"/>
  <cols>
    <col min="1" max="1" width="3.7109375" style="150" customWidth="1"/>
    <col min="2" max="2" width="3.421875" style="150" customWidth="1"/>
    <col min="3" max="3" width="15.7109375" style="150" customWidth="1"/>
    <col min="4" max="5" width="2.28125" style="150" customWidth="1"/>
    <col min="6" max="6" width="18.140625" style="150" customWidth="1"/>
    <col min="7" max="7" width="4.140625" style="150" customWidth="1"/>
    <col min="8" max="8" width="2.57421875" style="150" customWidth="1"/>
    <col min="9" max="9" width="15.7109375" style="150" customWidth="1"/>
    <col min="10" max="11" width="2.28125" style="150" customWidth="1"/>
    <col min="12" max="13" width="12.7109375" style="150" customWidth="1"/>
    <col min="14" max="14" width="3.421875" style="150" customWidth="1"/>
    <col min="15" max="15" width="3.7109375" style="150" customWidth="1"/>
    <col min="16" max="16" width="3.421875" style="150" customWidth="1"/>
    <col min="17" max="17" width="15.7109375" style="150" customWidth="1"/>
    <col min="18" max="19" width="2.28125" style="150" customWidth="1"/>
    <col min="20" max="20" width="18.140625" style="150" customWidth="1"/>
    <col min="21" max="21" width="4.421875" style="150" customWidth="1"/>
    <col min="22" max="22" width="2.57421875" style="150" customWidth="1"/>
    <col min="23" max="23" width="15.7109375" style="150" customWidth="1"/>
    <col min="24" max="25" width="2.28125" style="150" customWidth="1"/>
    <col min="26" max="27" width="12.7109375" style="150" customWidth="1"/>
    <col min="28" max="28" width="3.421875" style="150" customWidth="1"/>
    <col min="29" max="29" width="3.7109375" style="150" customWidth="1"/>
    <col min="30" max="30" width="3.421875" style="150" customWidth="1"/>
    <col min="31" max="31" width="15.7109375" style="150" customWidth="1"/>
    <col min="32" max="33" width="2.28125" style="150" customWidth="1"/>
    <col min="34" max="34" width="18.140625" style="150" customWidth="1"/>
    <col min="35" max="35" width="4.421875" style="150" customWidth="1"/>
    <col min="36" max="36" width="2.57421875" style="150" customWidth="1"/>
    <col min="37" max="37" width="15.7109375" style="150" customWidth="1"/>
    <col min="38" max="39" width="2.28125" style="150" customWidth="1"/>
    <col min="40" max="40" width="15.421875" style="150" customWidth="1"/>
    <col min="41" max="41" width="12.7109375" style="150" customWidth="1"/>
    <col min="42" max="42" width="3.421875" style="150" customWidth="1"/>
    <col min="43" max="43" width="9.140625" style="150" customWidth="1"/>
    <col min="44" max="72" width="9.140625" style="231" customWidth="1"/>
    <col min="73" max="16384" width="9.140625" style="150" customWidth="1"/>
  </cols>
  <sheetData>
    <row r="1" spans="2:72" s="147" customFormat="1" ht="18" customHeight="1" thickBot="1">
      <c r="B1" s="120"/>
      <c r="C1" s="121"/>
      <c r="D1" s="121"/>
      <c r="E1" s="120"/>
      <c r="F1" s="120"/>
      <c r="G1" s="133"/>
      <c r="H1" s="120"/>
      <c r="I1" s="134"/>
      <c r="J1" s="134"/>
      <c r="K1" s="120"/>
      <c r="L1" s="133"/>
      <c r="M1" s="133"/>
      <c r="N1" s="120"/>
      <c r="P1" s="120"/>
      <c r="Q1" s="121"/>
      <c r="R1" s="121"/>
      <c r="S1" s="120"/>
      <c r="T1" s="120"/>
      <c r="U1" s="133"/>
      <c r="V1" s="120"/>
      <c r="W1" s="134"/>
      <c r="X1" s="134"/>
      <c r="Y1" s="120"/>
      <c r="Z1" s="133"/>
      <c r="AA1" s="133"/>
      <c r="AB1" s="120"/>
      <c r="AD1" s="120"/>
      <c r="AE1" s="121"/>
      <c r="AF1" s="121"/>
      <c r="AG1" s="120"/>
      <c r="AH1" s="120"/>
      <c r="AI1" s="133"/>
      <c r="AJ1" s="120"/>
      <c r="AK1" s="134"/>
      <c r="AL1" s="134"/>
      <c r="AM1" s="120"/>
      <c r="AN1" s="133"/>
      <c r="AO1" s="133"/>
      <c r="AP1" s="120"/>
      <c r="AQ1" s="149"/>
      <c r="AR1" s="231"/>
      <c r="AS1" s="231"/>
      <c r="AT1" s="231"/>
      <c r="AU1" s="231"/>
      <c r="AV1" s="231"/>
      <c r="AW1" s="231"/>
      <c r="AX1" s="231"/>
      <c r="AY1" s="231"/>
      <c r="AZ1" s="231"/>
      <c r="BA1" s="231"/>
      <c r="BB1" s="231"/>
      <c r="BC1" s="231"/>
      <c r="BD1" s="231"/>
      <c r="BE1" s="231"/>
      <c r="BF1" s="231"/>
      <c r="BG1" s="231"/>
      <c r="BH1" s="231"/>
      <c r="BI1" s="231"/>
      <c r="BJ1" s="231"/>
      <c r="BK1" s="231"/>
      <c r="BL1" s="231"/>
      <c r="BM1" s="231"/>
      <c r="BN1" s="231"/>
      <c r="BO1" s="231"/>
      <c r="BP1" s="231"/>
      <c r="BQ1" s="231"/>
      <c r="BR1" s="231"/>
      <c r="BS1" s="231"/>
      <c r="BT1" s="231"/>
    </row>
    <row r="2" spans="2:72" s="147" customFormat="1" ht="18" customHeight="1" thickBot="1" thickTop="1">
      <c r="B2" s="8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10"/>
      <c r="O2" s="152"/>
      <c r="P2" s="8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10"/>
      <c r="AC2" s="152"/>
      <c r="AD2" s="8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10"/>
      <c r="AQ2" s="149"/>
      <c r="AR2" s="231"/>
      <c r="AS2" s="231"/>
      <c r="AT2" s="231"/>
      <c r="AU2" s="231"/>
      <c r="AV2" s="231"/>
      <c r="AW2" s="231"/>
      <c r="AX2" s="231"/>
      <c r="AY2" s="231"/>
      <c r="AZ2" s="231"/>
      <c r="BA2" s="231"/>
      <c r="BB2" s="231"/>
      <c r="BC2" s="231"/>
      <c r="BD2" s="231"/>
      <c r="BE2" s="231"/>
      <c r="BF2" s="231"/>
      <c r="BG2" s="231"/>
      <c r="BH2" s="231"/>
      <c r="BI2" s="231"/>
      <c r="BJ2" s="231"/>
      <c r="BK2" s="231"/>
      <c r="BL2" s="231"/>
      <c r="BM2" s="231"/>
      <c r="BN2" s="231"/>
      <c r="BO2" s="231"/>
      <c r="BP2" s="231"/>
      <c r="BQ2" s="231"/>
      <c r="BR2" s="231"/>
      <c r="BS2" s="231"/>
      <c r="BT2" s="231"/>
    </row>
    <row r="3" spans="2:72" s="147" customFormat="1" ht="18" customHeight="1" thickBot="1">
      <c r="B3" s="14"/>
      <c r="C3" s="656" t="s">
        <v>112</v>
      </c>
      <c r="D3" s="657"/>
      <c r="E3" s="657"/>
      <c r="F3" s="657"/>
      <c r="G3" s="657"/>
      <c r="H3" s="657"/>
      <c r="I3" s="657"/>
      <c r="J3" s="657"/>
      <c r="K3" s="657"/>
      <c r="L3" s="657"/>
      <c r="M3" s="658"/>
      <c r="N3" s="11"/>
      <c r="O3" s="152"/>
      <c r="P3" s="14"/>
      <c r="Q3" s="656" t="s">
        <v>111</v>
      </c>
      <c r="R3" s="657"/>
      <c r="S3" s="657"/>
      <c r="T3" s="657"/>
      <c r="U3" s="657"/>
      <c r="V3" s="657"/>
      <c r="W3" s="657"/>
      <c r="X3" s="657"/>
      <c r="Y3" s="657"/>
      <c r="Z3" s="657"/>
      <c r="AA3" s="658"/>
      <c r="AB3" s="11"/>
      <c r="AC3" s="152"/>
      <c r="AD3" s="14"/>
      <c r="AE3" s="656" t="s">
        <v>110</v>
      </c>
      <c r="AF3" s="657"/>
      <c r="AG3" s="657"/>
      <c r="AH3" s="657"/>
      <c r="AI3" s="657"/>
      <c r="AJ3" s="657"/>
      <c r="AK3" s="657"/>
      <c r="AL3" s="657"/>
      <c r="AM3" s="657"/>
      <c r="AN3" s="657"/>
      <c r="AO3" s="658"/>
      <c r="AP3" s="11"/>
      <c r="AQ3" s="149"/>
      <c r="AR3" s="231"/>
      <c r="AS3" s="231"/>
      <c r="AT3" s="231"/>
      <c r="AU3" s="231"/>
      <c r="AV3" s="231"/>
      <c r="AW3" s="231"/>
      <c r="AX3" s="231"/>
      <c r="AY3" s="231"/>
      <c r="AZ3" s="231"/>
      <c r="BA3" s="231"/>
      <c r="BB3" s="231"/>
      <c r="BC3" s="231"/>
      <c r="BD3" s="231"/>
      <c r="BE3" s="231"/>
      <c r="BF3" s="231"/>
      <c r="BG3" s="231"/>
      <c r="BH3" s="231"/>
      <c r="BI3" s="231"/>
      <c r="BJ3" s="231"/>
      <c r="BK3" s="231"/>
      <c r="BL3" s="231"/>
      <c r="BM3" s="231"/>
      <c r="BN3" s="231"/>
      <c r="BO3" s="231"/>
      <c r="BP3" s="231"/>
      <c r="BQ3" s="231"/>
      <c r="BR3" s="231"/>
      <c r="BS3" s="231"/>
      <c r="BT3" s="231"/>
    </row>
    <row r="4" spans="2:72" s="147" customFormat="1" ht="18" customHeight="1">
      <c r="B4" s="14"/>
      <c r="C4" s="25"/>
      <c r="D4" s="25"/>
      <c r="E4" s="25"/>
      <c r="F4" s="25"/>
      <c r="G4" s="25"/>
      <c r="H4" s="23"/>
      <c r="I4" s="23"/>
      <c r="J4" s="23"/>
      <c r="K4" s="23"/>
      <c r="L4" s="23"/>
      <c r="M4" s="23"/>
      <c r="N4" s="11"/>
      <c r="O4" s="152"/>
      <c r="P4" s="14"/>
      <c r="Q4" s="25"/>
      <c r="R4" s="25"/>
      <c r="S4" s="25"/>
      <c r="T4" s="25"/>
      <c r="U4" s="25"/>
      <c r="V4" s="23"/>
      <c r="W4" s="23"/>
      <c r="X4" s="23"/>
      <c r="Y4" s="23"/>
      <c r="Z4" s="23"/>
      <c r="AA4" s="23"/>
      <c r="AB4" s="11"/>
      <c r="AC4" s="152"/>
      <c r="AD4" s="14"/>
      <c r="AE4" s="25"/>
      <c r="AF4" s="25"/>
      <c r="AG4" s="25"/>
      <c r="AH4" s="25"/>
      <c r="AI4" s="25"/>
      <c r="AJ4" s="23"/>
      <c r="AK4" s="23"/>
      <c r="AL4" s="23"/>
      <c r="AM4" s="23"/>
      <c r="AN4" s="23"/>
      <c r="AO4" s="23"/>
      <c r="AP4" s="11"/>
      <c r="AQ4" s="149"/>
      <c r="AR4" s="231"/>
      <c r="AS4" s="231"/>
      <c r="AT4" s="231"/>
      <c r="AU4" s="231"/>
      <c r="AV4" s="231"/>
      <c r="AW4" s="231"/>
      <c r="AX4" s="231"/>
      <c r="AY4" s="231"/>
      <c r="AZ4" s="231"/>
      <c r="BA4" s="231"/>
      <c r="BB4" s="231"/>
      <c r="BC4" s="231"/>
      <c r="BD4" s="231"/>
      <c r="BE4" s="231"/>
      <c r="BF4" s="231"/>
      <c r="BG4" s="231"/>
      <c r="BH4" s="231"/>
      <c r="BI4" s="231"/>
      <c r="BJ4" s="231"/>
      <c r="BK4" s="231"/>
      <c r="BL4" s="231"/>
      <c r="BM4" s="231"/>
      <c r="BN4" s="231"/>
      <c r="BO4" s="231"/>
      <c r="BP4" s="231"/>
      <c r="BQ4" s="231"/>
      <c r="BR4" s="231"/>
      <c r="BS4" s="231"/>
      <c r="BT4" s="231"/>
    </row>
    <row r="5" spans="2:72" s="147" customFormat="1" ht="18" customHeight="1">
      <c r="B5" s="14"/>
      <c r="C5" s="27" t="s">
        <v>4</v>
      </c>
      <c r="D5" s="28"/>
      <c r="E5" s="27"/>
      <c r="F5" s="648">
        <v>2013</v>
      </c>
      <c r="G5" s="649"/>
      <c r="H5" s="29"/>
      <c r="I5" s="225" t="s">
        <v>4</v>
      </c>
      <c r="J5" s="226"/>
      <c r="K5" s="225"/>
      <c r="L5" s="648">
        <v>2012</v>
      </c>
      <c r="M5" s="649"/>
      <c r="N5" s="11"/>
      <c r="O5" s="152"/>
      <c r="P5" s="14"/>
      <c r="Q5" s="225" t="s">
        <v>4</v>
      </c>
      <c r="R5" s="226"/>
      <c r="S5" s="225"/>
      <c r="T5" s="648">
        <v>2013</v>
      </c>
      <c r="U5" s="649"/>
      <c r="V5" s="29"/>
      <c r="W5" s="225" t="s">
        <v>4</v>
      </c>
      <c r="X5" s="226"/>
      <c r="Y5" s="225"/>
      <c r="Z5" s="648">
        <v>2012</v>
      </c>
      <c r="AA5" s="649"/>
      <c r="AB5" s="11"/>
      <c r="AC5" s="152"/>
      <c r="AD5" s="14"/>
      <c r="AE5" s="225" t="s">
        <v>4</v>
      </c>
      <c r="AF5" s="226"/>
      <c r="AG5" s="225"/>
      <c r="AH5" s="650">
        <v>2013</v>
      </c>
      <c r="AI5" s="651"/>
      <c r="AJ5" s="29"/>
      <c r="AK5" s="225" t="s">
        <v>4</v>
      </c>
      <c r="AL5" s="226"/>
      <c r="AM5" s="225"/>
      <c r="AN5" s="644">
        <v>2012</v>
      </c>
      <c r="AO5" s="645"/>
      <c r="AP5" s="11"/>
      <c r="AQ5" s="149"/>
      <c r="AR5" s="231"/>
      <c r="AS5" s="231"/>
      <c r="AT5" s="231"/>
      <c r="AU5" s="231"/>
      <c r="AV5" s="231"/>
      <c r="AW5" s="231"/>
      <c r="AX5" s="231"/>
      <c r="AY5" s="231"/>
      <c r="AZ5" s="231"/>
      <c r="BA5" s="231"/>
      <c r="BB5" s="231"/>
      <c r="BC5" s="231"/>
      <c r="BD5" s="231"/>
      <c r="BE5" s="231"/>
      <c r="BF5" s="231"/>
      <c r="BG5" s="231"/>
      <c r="BH5" s="231"/>
      <c r="BI5" s="231"/>
      <c r="BJ5" s="231"/>
      <c r="BK5" s="231"/>
      <c r="BL5" s="231"/>
      <c r="BM5" s="231"/>
      <c r="BN5" s="231"/>
      <c r="BO5" s="231"/>
      <c r="BP5" s="231"/>
      <c r="BQ5" s="231"/>
      <c r="BR5" s="231"/>
      <c r="BS5" s="231"/>
      <c r="BT5" s="231"/>
    </row>
    <row r="6" spans="2:72" s="147" customFormat="1" ht="18" customHeight="1">
      <c r="B6" s="14"/>
      <c r="C6" s="218" t="s">
        <v>5</v>
      </c>
      <c r="D6" s="219"/>
      <c r="E6" s="218"/>
      <c r="F6" s="623">
        <v>46773</v>
      </c>
      <c r="G6" s="624"/>
      <c r="H6" s="29"/>
      <c r="I6" s="218" t="s">
        <v>5</v>
      </c>
      <c r="J6" s="219"/>
      <c r="K6" s="218"/>
      <c r="L6" s="623">
        <v>28647</v>
      </c>
      <c r="M6" s="624"/>
      <c r="N6" s="11"/>
      <c r="O6" s="152"/>
      <c r="P6" s="14"/>
      <c r="Q6" s="218" t="s">
        <v>5</v>
      </c>
      <c r="R6" s="219"/>
      <c r="S6" s="218"/>
      <c r="T6" s="623">
        <v>43525</v>
      </c>
      <c r="U6" s="624"/>
      <c r="V6" s="29"/>
      <c r="W6" s="218" t="s">
        <v>5</v>
      </c>
      <c r="X6" s="219"/>
      <c r="Y6" s="218"/>
      <c r="Z6" s="623">
        <v>47530</v>
      </c>
      <c r="AA6" s="624"/>
      <c r="AB6" s="11"/>
      <c r="AC6" s="152"/>
      <c r="AD6" s="14"/>
      <c r="AE6" s="218" t="s">
        <v>5</v>
      </c>
      <c r="AF6" s="219"/>
      <c r="AG6" s="218"/>
      <c r="AH6" s="623">
        <f>F6+T6</f>
        <v>90298</v>
      </c>
      <c r="AI6" s="624"/>
      <c r="AJ6" s="79"/>
      <c r="AK6" s="218" t="s">
        <v>5</v>
      </c>
      <c r="AL6" s="219"/>
      <c r="AM6" s="218"/>
      <c r="AN6" s="623">
        <f>L6+Z6</f>
        <v>76177</v>
      </c>
      <c r="AO6" s="624"/>
      <c r="AP6" s="11"/>
      <c r="AQ6" s="149"/>
      <c r="AR6" s="231"/>
      <c r="AS6" s="231"/>
      <c r="AT6" s="231"/>
      <c r="AU6" s="231"/>
      <c r="AV6" s="231"/>
      <c r="AW6" s="231"/>
      <c r="AX6" s="231"/>
      <c r="AY6" s="231"/>
      <c r="AZ6" s="231"/>
      <c r="BA6" s="231"/>
      <c r="BB6" s="231"/>
      <c r="BC6" s="231"/>
      <c r="BD6" s="231"/>
      <c r="BE6" s="231"/>
      <c r="BF6" s="231"/>
      <c r="BG6" s="231"/>
      <c r="BH6" s="231"/>
      <c r="BI6" s="231"/>
      <c r="BJ6" s="231"/>
      <c r="BK6" s="231"/>
      <c r="BL6" s="231"/>
      <c r="BM6" s="231"/>
      <c r="BN6" s="231"/>
      <c r="BO6" s="231"/>
      <c r="BP6" s="231"/>
      <c r="BQ6" s="231"/>
      <c r="BR6" s="231"/>
      <c r="BS6" s="231"/>
      <c r="BT6" s="231"/>
    </row>
    <row r="7" spans="2:72" s="147" customFormat="1" ht="18" customHeight="1">
      <c r="B7" s="14"/>
      <c r="C7" s="220" t="s">
        <v>98</v>
      </c>
      <c r="D7" s="221"/>
      <c r="E7" s="220"/>
      <c r="F7" s="637">
        <v>1690</v>
      </c>
      <c r="G7" s="638"/>
      <c r="H7" s="29"/>
      <c r="I7" s="220" t="s">
        <v>98</v>
      </c>
      <c r="J7" s="221"/>
      <c r="K7" s="220"/>
      <c r="L7" s="637">
        <v>712</v>
      </c>
      <c r="M7" s="638"/>
      <c r="N7" s="11"/>
      <c r="O7" s="152"/>
      <c r="P7" s="14"/>
      <c r="Q7" s="220" t="s">
        <v>98</v>
      </c>
      <c r="R7" s="221"/>
      <c r="S7" s="220"/>
      <c r="T7" s="637">
        <v>793</v>
      </c>
      <c r="U7" s="638"/>
      <c r="V7" s="29"/>
      <c r="W7" s="220" t="s">
        <v>98</v>
      </c>
      <c r="X7" s="221"/>
      <c r="Y7" s="220"/>
      <c r="Z7" s="637">
        <v>1386</v>
      </c>
      <c r="AA7" s="638"/>
      <c r="AB7" s="11"/>
      <c r="AC7" s="152"/>
      <c r="AD7" s="14"/>
      <c r="AE7" s="220" t="s">
        <v>98</v>
      </c>
      <c r="AF7" s="221"/>
      <c r="AG7" s="220"/>
      <c r="AH7" s="637">
        <f>F7+T7</f>
        <v>2483</v>
      </c>
      <c r="AI7" s="638"/>
      <c r="AJ7" s="79"/>
      <c r="AK7" s="220" t="s">
        <v>98</v>
      </c>
      <c r="AL7" s="221"/>
      <c r="AM7" s="220"/>
      <c r="AN7" s="637">
        <f>L7+Z7</f>
        <v>2098</v>
      </c>
      <c r="AO7" s="638"/>
      <c r="AP7" s="11"/>
      <c r="AQ7" s="149"/>
      <c r="AR7" s="231"/>
      <c r="AS7" s="231"/>
      <c r="AT7" s="231"/>
      <c r="AU7" s="231"/>
      <c r="AV7" s="231"/>
      <c r="AW7" s="231"/>
      <c r="AX7" s="231"/>
      <c r="AY7" s="231"/>
      <c r="AZ7" s="231"/>
      <c r="BA7" s="231"/>
      <c r="BB7" s="231"/>
      <c r="BC7" s="231"/>
      <c r="BD7" s="231"/>
      <c r="BE7" s="231"/>
      <c r="BF7" s="231"/>
      <c r="BG7" s="231"/>
      <c r="BH7" s="231"/>
      <c r="BI7" s="231"/>
      <c r="BJ7" s="231"/>
      <c r="BK7" s="231"/>
      <c r="BL7" s="231"/>
      <c r="BM7" s="231"/>
      <c r="BN7" s="231"/>
      <c r="BO7" s="231"/>
      <c r="BP7" s="231"/>
      <c r="BQ7" s="231"/>
      <c r="BR7" s="231"/>
      <c r="BS7" s="231"/>
      <c r="BT7" s="231"/>
    </row>
    <row r="8" spans="2:72" s="147" customFormat="1" ht="18" customHeight="1">
      <c r="B8" s="14"/>
      <c r="C8" s="220" t="s">
        <v>24</v>
      </c>
      <c r="D8" s="221"/>
      <c r="E8" s="220"/>
      <c r="F8" s="635">
        <v>80.844</v>
      </c>
      <c r="G8" s="636"/>
      <c r="H8" s="29"/>
      <c r="I8" s="220" t="s">
        <v>24</v>
      </c>
      <c r="J8" s="221"/>
      <c r="K8" s="220"/>
      <c r="L8" s="635">
        <v>5.23</v>
      </c>
      <c r="M8" s="636"/>
      <c r="N8" s="11"/>
      <c r="O8" s="152"/>
      <c r="P8" s="14"/>
      <c r="Q8" s="220" t="s">
        <v>24</v>
      </c>
      <c r="R8" s="221"/>
      <c r="S8" s="220"/>
      <c r="T8" s="635">
        <v>14.7</v>
      </c>
      <c r="U8" s="636"/>
      <c r="V8" s="29"/>
      <c r="W8" s="220" t="s">
        <v>24</v>
      </c>
      <c r="X8" s="221"/>
      <c r="Y8" s="220"/>
      <c r="Z8" s="635">
        <v>1.8</v>
      </c>
      <c r="AA8" s="636"/>
      <c r="AB8" s="11"/>
      <c r="AC8" s="152"/>
      <c r="AD8" s="14"/>
      <c r="AE8" s="220" t="s">
        <v>24</v>
      </c>
      <c r="AF8" s="221"/>
      <c r="AG8" s="220"/>
      <c r="AH8" s="637">
        <f>F8+T8</f>
        <v>95.544</v>
      </c>
      <c r="AI8" s="638"/>
      <c r="AJ8" s="29"/>
      <c r="AK8" s="220" t="s">
        <v>24</v>
      </c>
      <c r="AL8" s="221"/>
      <c r="AM8" s="220"/>
      <c r="AN8" s="637">
        <f>L8+Z8</f>
        <v>7.03</v>
      </c>
      <c r="AO8" s="638"/>
      <c r="AP8" s="11"/>
      <c r="AQ8" s="149"/>
      <c r="AR8" s="231"/>
      <c r="AS8" s="231"/>
      <c r="AT8" s="231"/>
      <c r="AU8" s="231"/>
      <c r="AV8" s="231"/>
      <c r="AW8" s="231"/>
      <c r="AX8" s="231"/>
      <c r="AY8" s="231"/>
      <c r="AZ8" s="231"/>
      <c r="BA8" s="231"/>
      <c r="BB8" s="231"/>
      <c r="BC8" s="231"/>
      <c r="BD8" s="231"/>
      <c r="BE8" s="231"/>
      <c r="BF8" s="231"/>
      <c r="BG8" s="231"/>
      <c r="BH8" s="231"/>
      <c r="BI8" s="231"/>
      <c r="BJ8" s="231"/>
      <c r="BK8" s="231"/>
      <c r="BL8" s="231"/>
      <c r="BM8" s="231"/>
      <c r="BN8" s="231"/>
      <c r="BO8" s="231"/>
      <c r="BP8" s="231"/>
      <c r="BQ8" s="231"/>
      <c r="BR8" s="231"/>
      <c r="BS8" s="231"/>
      <c r="BT8" s="231"/>
    </row>
    <row r="9" spans="2:72" s="147" customFormat="1" ht="18" customHeight="1">
      <c r="B9" s="14"/>
      <c r="C9" s="222" t="s">
        <v>6</v>
      </c>
      <c r="D9" s="223"/>
      <c r="E9" s="222"/>
      <c r="F9" s="627">
        <f>F6*26+F7*28+F8*1050</f>
        <v>1348304.2</v>
      </c>
      <c r="G9" s="628"/>
      <c r="H9" s="29"/>
      <c r="I9" s="222" t="s">
        <v>6</v>
      </c>
      <c r="J9" s="223"/>
      <c r="K9" s="222"/>
      <c r="L9" s="627">
        <f>L6*26+L7*28+L8*1050</f>
        <v>770249.5</v>
      </c>
      <c r="M9" s="628"/>
      <c r="N9" s="11"/>
      <c r="O9" s="152"/>
      <c r="P9" s="14"/>
      <c r="Q9" s="222" t="s">
        <v>6</v>
      </c>
      <c r="R9" s="223"/>
      <c r="S9" s="222"/>
      <c r="T9" s="627">
        <f>T6*26+T7*28+T8*1050</f>
        <v>1169289</v>
      </c>
      <c r="U9" s="628"/>
      <c r="V9" s="29"/>
      <c r="W9" s="222" t="s">
        <v>6</v>
      </c>
      <c r="X9" s="223"/>
      <c r="Y9" s="222"/>
      <c r="Z9" s="627">
        <f>Z6*26+Z7*28+Z8*1050</f>
        <v>1276478</v>
      </c>
      <c r="AA9" s="628"/>
      <c r="AB9" s="11"/>
      <c r="AC9" s="152"/>
      <c r="AD9" s="14"/>
      <c r="AE9" s="222" t="s">
        <v>6</v>
      </c>
      <c r="AF9" s="223"/>
      <c r="AG9" s="222"/>
      <c r="AH9" s="627">
        <f>AH6*26+AH7*28+AH8*1050</f>
        <v>2517593.2</v>
      </c>
      <c r="AI9" s="628"/>
      <c r="AJ9" s="29"/>
      <c r="AK9" s="222" t="s">
        <v>6</v>
      </c>
      <c r="AL9" s="223"/>
      <c r="AM9" s="222"/>
      <c r="AN9" s="627">
        <f>AN6*26+AN7*28+AN8*1050</f>
        <v>2046727.5</v>
      </c>
      <c r="AO9" s="628"/>
      <c r="AP9" s="11"/>
      <c r="AQ9" s="149"/>
      <c r="AR9" s="231"/>
      <c r="AS9" s="231"/>
      <c r="AT9" s="231"/>
      <c r="AU9" s="231"/>
      <c r="AV9" s="231"/>
      <c r="AW9" s="231"/>
      <c r="AX9" s="231"/>
      <c r="AY9" s="231"/>
      <c r="AZ9" s="231"/>
      <c r="BA9" s="231"/>
      <c r="BB9" s="231"/>
      <c r="BC9" s="231"/>
      <c r="BD9" s="231"/>
      <c r="BE9" s="231"/>
      <c r="BF9" s="231"/>
      <c r="BG9" s="231"/>
      <c r="BH9" s="231"/>
      <c r="BI9" s="231"/>
      <c r="BJ9" s="231"/>
      <c r="BK9" s="231"/>
      <c r="BL9" s="231"/>
      <c r="BM9" s="231"/>
      <c r="BN9" s="231"/>
      <c r="BO9" s="231"/>
      <c r="BP9" s="231"/>
      <c r="BQ9" s="231"/>
      <c r="BR9" s="231"/>
      <c r="BS9" s="231"/>
      <c r="BT9" s="231"/>
    </row>
    <row r="10" spans="2:72" s="147" customFormat="1" ht="18" customHeight="1">
      <c r="B10" s="14"/>
      <c r="C10" s="218" t="s">
        <v>23</v>
      </c>
      <c r="D10" s="219"/>
      <c r="E10" s="218"/>
      <c r="F10" s="623">
        <f>F11/0.6</f>
        <v>661383.3333333334</v>
      </c>
      <c r="G10" s="624"/>
      <c r="H10" s="29"/>
      <c r="I10" s="218" t="s">
        <v>23</v>
      </c>
      <c r="J10" s="219"/>
      <c r="K10" s="218"/>
      <c r="L10" s="623">
        <f>L11/0.6</f>
        <v>420581.6666666667</v>
      </c>
      <c r="M10" s="624"/>
      <c r="N10" s="11"/>
      <c r="O10" s="152"/>
      <c r="P10" s="14"/>
      <c r="Q10" s="218" t="s">
        <v>23</v>
      </c>
      <c r="R10" s="219"/>
      <c r="S10" s="218"/>
      <c r="T10" s="623">
        <f>T11/0.6</f>
        <v>584193.3333333334</v>
      </c>
      <c r="U10" s="624"/>
      <c r="V10" s="29"/>
      <c r="W10" s="218" t="s">
        <v>23</v>
      </c>
      <c r="X10" s="219"/>
      <c r="Y10" s="218"/>
      <c r="Z10" s="623">
        <f>Z11/0.6</f>
        <v>689176.6666666667</v>
      </c>
      <c r="AA10" s="624"/>
      <c r="AB10" s="11"/>
      <c r="AC10" s="152"/>
      <c r="AD10" s="14"/>
      <c r="AE10" s="218" t="s">
        <v>23</v>
      </c>
      <c r="AF10" s="219"/>
      <c r="AG10" s="218"/>
      <c r="AH10" s="623">
        <f>AH11/0.6</f>
        <v>1245576.6666666667</v>
      </c>
      <c r="AI10" s="624"/>
      <c r="AJ10" s="29"/>
      <c r="AK10" s="218" t="s">
        <v>23</v>
      </c>
      <c r="AL10" s="219"/>
      <c r="AM10" s="218"/>
      <c r="AN10" s="623">
        <f>AN11/0.6</f>
        <v>1109758.3333333335</v>
      </c>
      <c r="AO10" s="624"/>
      <c r="AP10" s="11"/>
      <c r="AQ10" s="149"/>
      <c r="AR10" s="231"/>
      <c r="AS10" s="231"/>
      <c r="AT10" s="231"/>
      <c r="AU10" s="231"/>
      <c r="AV10" s="231"/>
      <c r="AW10" s="231"/>
      <c r="AX10" s="231"/>
      <c r="AY10" s="231"/>
      <c r="AZ10" s="231"/>
      <c r="BA10" s="231"/>
      <c r="BB10" s="231"/>
      <c r="BC10" s="231"/>
      <c r="BD10" s="231"/>
      <c r="BE10" s="231"/>
      <c r="BF10" s="231"/>
      <c r="BG10" s="231"/>
      <c r="BH10" s="231"/>
      <c r="BI10" s="231"/>
      <c r="BJ10" s="231"/>
      <c r="BK10" s="231"/>
      <c r="BL10" s="231"/>
      <c r="BM10" s="231"/>
      <c r="BN10" s="231"/>
      <c r="BO10" s="231"/>
      <c r="BP10" s="231"/>
      <c r="BQ10" s="231"/>
      <c r="BR10" s="231"/>
      <c r="BS10" s="231"/>
      <c r="BT10" s="231"/>
    </row>
    <row r="11" spans="2:72" s="147" customFormat="1" ht="18" customHeight="1">
      <c r="B11" s="14"/>
      <c r="C11" s="222" t="s">
        <v>7</v>
      </c>
      <c r="D11" s="223"/>
      <c r="E11" s="222"/>
      <c r="F11" s="619">
        <v>396830</v>
      </c>
      <c r="G11" s="620"/>
      <c r="H11" s="29"/>
      <c r="I11" s="222" t="s">
        <v>7</v>
      </c>
      <c r="J11" s="223"/>
      <c r="K11" s="222"/>
      <c r="L11" s="619">
        <v>252349</v>
      </c>
      <c r="M11" s="620"/>
      <c r="N11" s="11"/>
      <c r="O11" s="152"/>
      <c r="P11" s="14"/>
      <c r="Q11" s="222" t="s">
        <v>7</v>
      </c>
      <c r="R11" s="223"/>
      <c r="S11" s="222"/>
      <c r="T11" s="619">
        <v>350516</v>
      </c>
      <c r="U11" s="620"/>
      <c r="V11" s="29"/>
      <c r="W11" s="222" t="s">
        <v>7</v>
      </c>
      <c r="X11" s="223"/>
      <c r="Y11" s="222"/>
      <c r="Z11" s="619">
        <v>413506</v>
      </c>
      <c r="AA11" s="620"/>
      <c r="AB11" s="11"/>
      <c r="AC11" s="152"/>
      <c r="AD11" s="14"/>
      <c r="AE11" s="222" t="s">
        <v>7</v>
      </c>
      <c r="AF11" s="223"/>
      <c r="AG11" s="222"/>
      <c r="AH11" s="619">
        <f>F11+T11</f>
        <v>747346</v>
      </c>
      <c r="AI11" s="620"/>
      <c r="AJ11" s="29"/>
      <c r="AK11" s="222" t="s">
        <v>7</v>
      </c>
      <c r="AL11" s="223"/>
      <c r="AM11" s="222"/>
      <c r="AN11" s="619">
        <f>L11+Z11</f>
        <v>665855</v>
      </c>
      <c r="AO11" s="620"/>
      <c r="AP11" s="11"/>
      <c r="AQ11" s="149"/>
      <c r="AR11" s="231"/>
      <c r="AS11" s="231"/>
      <c r="AT11" s="231"/>
      <c r="AU11" s="231"/>
      <c r="AV11" s="231"/>
      <c r="AW11" s="231"/>
      <c r="AX11" s="231"/>
      <c r="AY11" s="231"/>
      <c r="AZ11" s="231"/>
      <c r="BA11" s="231"/>
      <c r="BB11" s="231"/>
      <c r="BC11" s="231"/>
      <c r="BD11" s="231"/>
      <c r="BE11" s="231"/>
      <c r="BF11" s="231"/>
      <c r="BG11" s="231"/>
      <c r="BH11" s="231"/>
      <c r="BI11" s="231"/>
      <c r="BJ11" s="231"/>
      <c r="BK11" s="231"/>
      <c r="BL11" s="231"/>
      <c r="BM11" s="231"/>
      <c r="BN11" s="231"/>
      <c r="BO11" s="231"/>
      <c r="BP11" s="231"/>
      <c r="BQ11" s="231"/>
      <c r="BR11" s="231"/>
      <c r="BS11" s="231"/>
      <c r="BT11" s="231"/>
    </row>
    <row r="12" spans="2:72" s="147" customFormat="1" ht="18" customHeight="1">
      <c r="B12" s="14"/>
      <c r="C12" s="25"/>
      <c r="D12" s="25"/>
      <c r="E12" s="25"/>
      <c r="F12" s="168"/>
      <c r="G12" s="85"/>
      <c r="H12" s="25"/>
      <c r="I12" s="24"/>
      <c r="J12" s="24"/>
      <c r="K12" s="24"/>
      <c r="L12" s="24"/>
      <c r="M12" s="24"/>
      <c r="N12" s="11"/>
      <c r="O12" s="152"/>
      <c r="P12" s="14"/>
      <c r="Q12" s="25"/>
      <c r="R12" s="25"/>
      <c r="S12" s="25"/>
      <c r="T12" s="168"/>
      <c r="U12" s="85"/>
      <c r="V12" s="25"/>
      <c r="W12" s="24"/>
      <c r="X12" s="24"/>
      <c r="Y12" s="24"/>
      <c r="Z12" s="24"/>
      <c r="AA12" s="24"/>
      <c r="AB12" s="11"/>
      <c r="AC12" s="152"/>
      <c r="AD12" s="14"/>
      <c r="AE12" s="25"/>
      <c r="AF12" s="25"/>
      <c r="AG12" s="25"/>
      <c r="AH12" s="168"/>
      <c r="AI12" s="85"/>
      <c r="AJ12" s="25"/>
      <c r="AK12" s="24"/>
      <c r="AL12" s="24"/>
      <c r="AM12" s="24"/>
      <c r="AN12" s="24"/>
      <c r="AO12" s="24"/>
      <c r="AP12" s="11"/>
      <c r="AQ12" s="149"/>
      <c r="AR12" s="231"/>
      <c r="AS12" s="231"/>
      <c r="AT12" s="231"/>
      <c r="AU12" s="231"/>
      <c r="AV12" s="231"/>
      <c r="AW12" s="231"/>
      <c r="AX12" s="231"/>
      <c r="AY12" s="231"/>
      <c r="AZ12" s="231"/>
      <c r="BA12" s="231"/>
      <c r="BB12" s="231"/>
      <c r="BC12" s="231"/>
      <c r="BD12" s="231"/>
      <c r="BE12" s="231"/>
      <c r="BF12" s="231"/>
      <c r="BG12" s="231"/>
      <c r="BH12" s="231"/>
      <c r="BI12" s="231"/>
      <c r="BJ12" s="231"/>
      <c r="BK12" s="231"/>
      <c r="BL12" s="231"/>
      <c r="BM12" s="231"/>
      <c r="BN12" s="231"/>
      <c r="BO12" s="231"/>
      <c r="BP12" s="231"/>
      <c r="BQ12" s="231"/>
      <c r="BR12" s="231"/>
      <c r="BS12" s="231"/>
      <c r="BT12" s="231"/>
    </row>
    <row r="13" spans="2:72" s="147" customFormat="1" ht="18" customHeight="1">
      <c r="B13" s="14"/>
      <c r="C13" s="218" t="s">
        <v>4</v>
      </c>
      <c r="D13" s="224"/>
      <c r="E13" s="218"/>
      <c r="F13" s="644">
        <v>2011</v>
      </c>
      <c r="G13" s="645"/>
      <c r="H13" s="29"/>
      <c r="I13" s="225" t="s">
        <v>4</v>
      </c>
      <c r="J13" s="226"/>
      <c r="K13" s="225"/>
      <c r="L13" s="644">
        <v>2010</v>
      </c>
      <c r="M13" s="645"/>
      <c r="N13" s="11"/>
      <c r="O13" s="152"/>
      <c r="P13" s="14"/>
      <c r="Q13" s="218" t="s">
        <v>4</v>
      </c>
      <c r="R13" s="224"/>
      <c r="S13" s="218"/>
      <c r="T13" s="644">
        <v>2011</v>
      </c>
      <c r="U13" s="645"/>
      <c r="V13" s="29"/>
      <c r="W13" s="225" t="s">
        <v>4</v>
      </c>
      <c r="X13" s="226"/>
      <c r="Y13" s="225"/>
      <c r="Z13" s="644">
        <v>2010</v>
      </c>
      <c r="AA13" s="645"/>
      <c r="AB13" s="11"/>
      <c r="AC13" s="152"/>
      <c r="AD13" s="14"/>
      <c r="AE13" s="218" t="s">
        <v>4</v>
      </c>
      <c r="AF13" s="224"/>
      <c r="AG13" s="218"/>
      <c r="AH13" s="650">
        <v>2011</v>
      </c>
      <c r="AI13" s="651"/>
      <c r="AJ13" s="29"/>
      <c r="AK13" s="225" t="s">
        <v>4</v>
      </c>
      <c r="AL13" s="226"/>
      <c r="AM13" s="225"/>
      <c r="AN13" s="650">
        <v>2010</v>
      </c>
      <c r="AO13" s="651"/>
      <c r="AP13" s="11"/>
      <c r="AQ13" s="149"/>
      <c r="AR13" s="231"/>
      <c r="AS13" s="231"/>
      <c r="AT13" s="231"/>
      <c r="AU13" s="231"/>
      <c r="AV13" s="231"/>
      <c r="AW13" s="231"/>
      <c r="AX13" s="231"/>
      <c r="AY13" s="231"/>
      <c r="AZ13" s="231"/>
      <c r="BA13" s="231"/>
      <c r="BB13" s="231"/>
      <c r="BC13" s="231"/>
      <c r="BD13" s="231"/>
      <c r="BE13" s="231"/>
      <c r="BF13" s="231"/>
      <c r="BG13" s="231"/>
      <c r="BH13" s="231"/>
      <c r="BI13" s="231"/>
      <c r="BJ13" s="231"/>
      <c r="BK13" s="231"/>
      <c r="BL13" s="231"/>
      <c r="BM13" s="231"/>
      <c r="BN13" s="231"/>
      <c r="BO13" s="231"/>
      <c r="BP13" s="231"/>
      <c r="BQ13" s="231"/>
      <c r="BR13" s="231"/>
      <c r="BS13" s="231"/>
      <c r="BT13" s="231"/>
    </row>
    <row r="14" spans="2:72" s="147" customFormat="1" ht="18" customHeight="1">
      <c r="B14" s="14"/>
      <c r="C14" s="218" t="s">
        <v>5</v>
      </c>
      <c r="D14" s="219"/>
      <c r="E14" s="218"/>
      <c r="F14" s="623">
        <v>16287</v>
      </c>
      <c r="G14" s="624"/>
      <c r="H14" s="29"/>
      <c r="I14" s="218" t="s">
        <v>5</v>
      </c>
      <c r="J14" s="219"/>
      <c r="K14" s="218"/>
      <c r="L14" s="623">
        <v>49698</v>
      </c>
      <c r="M14" s="624"/>
      <c r="N14" s="11"/>
      <c r="O14" s="152"/>
      <c r="P14" s="14"/>
      <c r="Q14" s="218" t="s">
        <v>5</v>
      </c>
      <c r="R14" s="219"/>
      <c r="S14" s="218"/>
      <c r="T14" s="623">
        <v>44509</v>
      </c>
      <c r="U14" s="624"/>
      <c r="V14" s="29"/>
      <c r="W14" s="218" t="s">
        <v>5</v>
      </c>
      <c r="X14" s="219"/>
      <c r="Y14" s="218"/>
      <c r="Z14" s="623">
        <v>30674</v>
      </c>
      <c r="AA14" s="624"/>
      <c r="AB14" s="11"/>
      <c r="AC14" s="152"/>
      <c r="AD14" s="14"/>
      <c r="AE14" s="218" t="s">
        <v>5</v>
      </c>
      <c r="AF14" s="219"/>
      <c r="AG14" s="218"/>
      <c r="AH14" s="623">
        <f>F14+T14</f>
        <v>60796</v>
      </c>
      <c r="AI14" s="624"/>
      <c r="AJ14" s="79"/>
      <c r="AK14" s="218" t="s">
        <v>5</v>
      </c>
      <c r="AL14" s="219"/>
      <c r="AM14" s="218"/>
      <c r="AN14" s="623">
        <f>T14+Z14</f>
        <v>75183</v>
      </c>
      <c r="AO14" s="624"/>
      <c r="AP14" s="11"/>
      <c r="AQ14" s="149"/>
      <c r="AR14" s="231"/>
      <c r="AS14" s="231"/>
      <c r="AT14" s="231"/>
      <c r="AU14" s="231"/>
      <c r="AV14" s="231"/>
      <c r="AW14" s="231"/>
      <c r="AX14" s="231"/>
      <c r="AY14" s="231"/>
      <c r="AZ14" s="231"/>
      <c r="BA14" s="231"/>
      <c r="BB14" s="231"/>
      <c r="BC14" s="231"/>
      <c r="BD14" s="231"/>
      <c r="BE14" s="231"/>
      <c r="BF14" s="231"/>
      <c r="BG14" s="231"/>
      <c r="BH14" s="231"/>
      <c r="BI14" s="231"/>
      <c r="BJ14" s="231"/>
      <c r="BK14" s="231"/>
      <c r="BL14" s="231"/>
      <c r="BM14" s="231"/>
      <c r="BN14" s="231"/>
      <c r="BO14" s="231"/>
      <c r="BP14" s="231"/>
      <c r="BQ14" s="231"/>
      <c r="BR14" s="231"/>
      <c r="BS14" s="231"/>
      <c r="BT14" s="231"/>
    </row>
    <row r="15" spans="2:72" s="147" customFormat="1" ht="18" customHeight="1">
      <c r="B15" s="14"/>
      <c r="C15" s="220" t="s">
        <v>98</v>
      </c>
      <c r="D15" s="221"/>
      <c r="E15" s="220"/>
      <c r="F15" s="637">
        <v>796</v>
      </c>
      <c r="G15" s="638"/>
      <c r="H15" s="29"/>
      <c r="I15" s="220" t="s">
        <v>98</v>
      </c>
      <c r="J15" s="221"/>
      <c r="K15" s="220"/>
      <c r="L15" s="654">
        <v>2666</v>
      </c>
      <c r="M15" s="655"/>
      <c r="N15" s="11"/>
      <c r="O15" s="152"/>
      <c r="P15" s="14"/>
      <c r="Q15" s="220" t="s">
        <v>98</v>
      </c>
      <c r="R15" s="221"/>
      <c r="S15" s="220"/>
      <c r="T15" s="637">
        <v>1820</v>
      </c>
      <c r="U15" s="638"/>
      <c r="V15" s="29"/>
      <c r="W15" s="220" t="s">
        <v>98</v>
      </c>
      <c r="X15" s="221"/>
      <c r="Y15" s="220"/>
      <c r="Z15" s="654">
        <v>1214</v>
      </c>
      <c r="AA15" s="655"/>
      <c r="AB15" s="11"/>
      <c r="AC15" s="152"/>
      <c r="AD15" s="14"/>
      <c r="AE15" s="220" t="s">
        <v>98</v>
      </c>
      <c r="AF15" s="221"/>
      <c r="AG15" s="220"/>
      <c r="AH15" s="637">
        <f>F28+T15</f>
        <v>1820</v>
      </c>
      <c r="AI15" s="638"/>
      <c r="AJ15" s="79"/>
      <c r="AK15" s="220" t="s">
        <v>98</v>
      </c>
      <c r="AL15" s="221"/>
      <c r="AM15" s="220"/>
      <c r="AN15" s="637">
        <f>T28+Z15</f>
        <v>1214</v>
      </c>
      <c r="AO15" s="638"/>
      <c r="AP15" s="11"/>
      <c r="AQ15" s="149"/>
      <c r="AR15" s="231"/>
      <c r="AS15" s="231"/>
      <c r="AT15" s="231"/>
      <c r="AU15" s="231"/>
      <c r="AV15" s="231"/>
      <c r="AW15" s="231"/>
      <c r="AX15" s="231"/>
      <c r="AY15" s="231"/>
      <c r="AZ15" s="231"/>
      <c r="BA15" s="231"/>
      <c r="BB15" s="231"/>
      <c r="BC15" s="231"/>
      <c r="BD15" s="231"/>
      <c r="BE15" s="231"/>
      <c r="BF15" s="231"/>
      <c r="BG15" s="231"/>
      <c r="BH15" s="231"/>
      <c r="BI15" s="231"/>
      <c r="BJ15" s="231"/>
      <c r="BK15" s="231"/>
      <c r="BL15" s="231"/>
      <c r="BM15" s="231"/>
      <c r="BN15" s="231"/>
      <c r="BO15" s="231"/>
      <c r="BP15" s="231"/>
      <c r="BQ15" s="231"/>
      <c r="BR15" s="231"/>
      <c r="BS15" s="231"/>
      <c r="BT15" s="231"/>
    </row>
    <row r="16" spans="2:72" s="147" customFormat="1" ht="18" customHeight="1">
      <c r="B16" s="14"/>
      <c r="C16" s="220" t="s">
        <v>24</v>
      </c>
      <c r="D16" s="221"/>
      <c r="E16" s="220"/>
      <c r="F16" s="652">
        <v>1.719</v>
      </c>
      <c r="G16" s="653"/>
      <c r="H16" s="29"/>
      <c r="I16" s="220" t="s">
        <v>24</v>
      </c>
      <c r="J16" s="221"/>
      <c r="K16" s="220"/>
      <c r="L16" s="635">
        <v>0.418</v>
      </c>
      <c r="M16" s="636"/>
      <c r="N16" s="11"/>
      <c r="O16" s="152"/>
      <c r="P16" s="14"/>
      <c r="Q16" s="220" t="s">
        <v>24</v>
      </c>
      <c r="R16" s="221"/>
      <c r="S16" s="220"/>
      <c r="T16" s="652">
        <v>6.2</v>
      </c>
      <c r="U16" s="653"/>
      <c r="V16" s="29"/>
      <c r="W16" s="220" t="s">
        <v>24</v>
      </c>
      <c r="X16" s="221"/>
      <c r="Y16" s="220"/>
      <c r="Z16" s="635">
        <v>2.83</v>
      </c>
      <c r="AA16" s="636"/>
      <c r="AB16" s="11"/>
      <c r="AC16" s="152"/>
      <c r="AD16" s="14"/>
      <c r="AE16" s="220" t="s">
        <v>24</v>
      </c>
      <c r="AF16" s="221"/>
      <c r="AG16" s="220"/>
      <c r="AH16" s="637">
        <f>F16+T16</f>
        <v>7.9190000000000005</v>
      </c>
      <c r="AI16" s="638"/>
      <c r="AJ16" s="29"/>
      <c r="AK16" s="220" t="s">
        <v>24</v>
      </c>
      <c r="AL16" s="221"/>
      <c r="AM16" s="220"/>
      <c r="AN16" s="637">
        <f>T16+Z16</f>
        <v>9.030000000000001</v>
      </c>
      <c r="AO16" s="638"/>
      <c r="AP16" s="11"/>
      <c r="AQ16" s="149"/>
      <c r="AR16" s="231"/>
      <c r="AS16" s="231"/>
      <c r="AT16" s="231"/>
      <c r="AU16" s="231"/>
      <c r="AV16" s="231"/>
      <c r="AW16" s="231"/>
      <c r="AX16" s="231"/>
      <c r="AY16" s="231"/>
      <c r="AZ16" s="231"/>
      <c r="BA16" s="231"/>
      <c r="BB16" s="231"/>
      <c r="BC16" s="231"/>
      <c r="BD16" s="231"/>
      <c r="BE16" s="231"/>
      <c r="BF16" s="231"/>
      <c r="BG16" s="231"/>
      <c r="BH16" s="231"/>
      <c r="BI16" s="231"/>
      <c r="BJ16" s="231"/>
      <c r="BK16" s="231"/>
      <c r="BL16" s="231"/>
      <c r="BM16" s="231"/>
      <c r="BN16" s="231"/>
      <c r="BO16" s="231"/>
      <c r="BP16" s="231"/>
      <c r="BQ16" s="231"/>
      <c r="BR16" s="231"/>
      <c r="BS16" s="231"/>
      <c r="BT16" s="231"/>
    </row>
    <row r="17" spans="2:72" s="147" customFormat="1" ht="18" customHeight="1">
      <c r="B17" s="14"/>
      <c r="C17" s="222" t="s">
        <v>6</v>
      </c>
      <c r="D17" s="223"/>
      <c r="E17" s="222"/>
      <c r="F17" s="627">
        <f>F14*26+F15*28+F16*1050</f>
        <v>447554.95</v>
      </c>
      <c r="G17" s="628"/>
      <c r="H17" s="29"/>
      <c r="I17" s="222" t="s">
        <v>6</v>
      </c>
      <c r="J17" s="223"/>
      <c r="K17" s="222"/>
      <c r="L17" s="627">
        <f>L14*26+L15*28+L16*1050</f>
        <v>1367234.9</v>
      </c>
      <c r="M17" s="628"/>
      <c r="N17" s="11"/>
      <c r="O17" s="152"/>
      <c r="P17" s="14"/>
      <c r="Q17" s="222" t="s">
        <v>6</v>
      </c>
      <c r="R17" s="223"/>
      <c r="S17" s="222"/>
      <c r="T17" s="627">
        <f>T14*26+T15*28+T16*1050</f>
        <v>1214704</v>
      </c>
      <c r="U17" s="628"/>
      <c r="V17" s="29"/>
      <c r="W17" s="222" t="s">
        <v>6</v>
      </c>
      <c r="X17" s="223"/>
      <c r="Y17" s="222"/>
      <c r="Z17" s="627">
        <f>Z14*26+Z15*28+Z16*1050</f>
        <v>834487.5</v>
      </c>
      <c r="AA17" s="628"/>
      <c r="AB17" s="11"/>
      <c r="AC17" s="152"/>
      <c r="AD17" s="14"/>
      <c r="AE17" s="222" t="s">
        <v>6</v>
      </c>
      <c r="AF17" s="223"/>
      <c r="AG17" s="222"/>
      <c r="AH17" s="627">
        <f>AH14*26+AH15*28+AH16*1050</f>
        <v>1639970.95</v>
      </c>
      <c r="AI17" s="628"/>
      <c r="AJ17" s="29"/>
      <c r="AK17" s="222" t="s">
        <v>6</v>
      </c>
      <c r="AL17" s="223"/>
      <c r="AM17" s="222"/>
      <c r="AN17" s="627">
        <f>AN14*26+AN15*28+AN16*1050</f>
        <v>1998231.5</v>
      </c>
      <c r="AO17" s="628"/>
      <c r="AP17" s="11"/>
      <c r="AQ17" s="149"/>
      <c r="AR17" s="231"/>
      <c r="AS17" s="231"/>
      <c r="AT17" s="231"/>
      <c r="AU17" s="231"/>
      <c r="AV17" s="231"/>
      <c r="AW17" s="231"/>
      <c r="AX17" s="231"/>
      <c r="AY17" s="231"/>
      <c r="AZ17" s="231"/>
      <c r="BA17" s="231"/>
      <c r="BB17" s="231"/>
      <c r="BC17" s="231"/>
      <c r="BD17" s="231"/>
      <c r="BE17" s="231"/>
      <c r="BF17" s="231"/>
      <c r="BG17" s="231"/>
      <c r="BH17" s="231"/>
      <c r="BI17" s="231"/>
      <c r="BJ17" s="231"/>
      <c r="BK17" s="231"/>
      <c r="BL17" s="231"/>
      <c r="BM17" s="231"/>
      <c r="BN17" s="231"/>
      <c r="BO17" s="231"/>
      <c r="BP17" s="231"/>
      <c r="BQ17" s="231"/>
      <c r="BR17" s="231"/>
      <c r="BS17" s="231"/>
      <c r="BT17" s="231"/>
    </row>
    <row r="18" spans="2:72" s="147" customFormat="1" ht="18" customHeight="1">
      <c r="B18" s="14"/>
      <c r="C18" s="218" t="s">
        <v>23</v>
      </c>
      <c r="D18" s="219"/>
      <c r="E18" s="218"/>
      <c r="F18" s="623">
        <f>F19/0.6</f>
        <v>239483.33333333334</v>
      </c>
      <c r="G18" s="624"/>
      <c r="H18" s="29"/>
      <c r="I18" s="218" t="s">
        <v>23</v>
      </c>
      <c r="J18" s="219"/>
      <c r="K18" s="218"/>
      <c r="L18" s="623">
        <f>L19/0.6</f>
        <v>681651.6666666667</v>
      </c>
      <c r="M18" s="624"/>
      <c r="N18" s="11"/>
      <c r="O18" s="152"/>
      <c r="P18" s="14"/>
      <c r="Q18" s="218" t="s">
        <v>23</v>
      </c>
      <c r="R18" s="219"/>
      <c r="S18" s="218"/>
      <c r="T18" s="623">
        <f>T19/0.6</f>
        <v>658180</v>
      </c>
      <c r="U18" s="624"/>
      <c r="V18" s="29"/>
      <c r="W18" s="218" t="s">
        <v>23</v>
      </c>
      <c r="X18" s="219"/>
      <c r="Y18" s="218"/>
      <c r="Z18" s="623">
        <f>Z19/0.6</f>
        <v>476486.6666666667</v>
      </c>
      <c r="AA18" s="624"/>
      <c r="AB18" s="11"/>
      <c r="AC18" s="152"/>
      <c r="AD18" s="14"/>
      <c r="AE18" s="218" t="s">
        <v>23</v>
      </c>
      <c r="AF18" s="219"/>
      <c r="AG18" s="218"/>
      <c r="AH18" s="623">
        <f>AH19/0.6</f>
        <v>897663.3333333334</v>
      </c>
      <c r="AI18" s="624"/>
      <c r="AJ18" s="29"/>
      <c r="AK18" s="218" t="s">
        <v>23</v>
      </c>
      <c r="AL18" s="219"/>
      <c r="AM18" s="218"/>
      <c r="AN18" s="623">
        <f>AN19/0.6</f>
        <v>1158138.3333333335</v>
      </c>
      <c r="AO18" s="624"/>
      <c r="AP18" s="11"/>
      <c r="AQ18" s="149"/>
      <c r="AR18" s="231"/>
      <c r="AS18" s="231"/>
      <c r="AT18" s="231"/>
      <c r="AU18" s="231"/>
      <c r="AV18" s="231"/>
      <c r="AW18" s="231"/>
      <c r="AX18" s="231"/>
      <c r="AY18" s="231"/>
      <c r="AZ18" s="231"/>
      <c r="BA18" s="231"/>
      <c r="BB18" s="231"/>
      <c r="BC18" s="231"/>
      <c r="BD18" s="231"/>
      <c r="BE18" s="231"/>
      <c r="BF18" s="231"/>
      <c r="BG18" s="231"/>
      <c r="BH18" s="231"/>
      <c r="BI18" s="231"/>
      <c r="BJ18" s="231"/>
      <c r="BK18" s="231"/>
      <c r="BL18" s="231"/>
      <c r="BM18" s="231"/>
      <c r="BN18" s="231"/>
      <c r="BO18" s="231"/>
      <c r="BP18" s="231"/>
      <c r="BQ18" s="231"/>
      <c r="BR18" s="231"/>
      <c r="BS18" s="231"/>
      <c r="BT18" s="231"/>
    </row>
    <row r="19" spans="2:72" s="147" customFormat="1" ht="18" customHeight="1">
      <c r="B19" s="14"/>
      <c r="C19" s="222" t="s">
        <v>7</v>
      </c>
      <c r="D19" s="223"/>
      <c r="E19" s="222"/>
      <c r="F19" s="619">
        <v>143690</v>
      </c>
      <c r="G19" s="620"/>
      <c r="H19" s="29"/>
      <c r="I19" s="222" t="s">
        <v>7</v>
      </c>
      <c r="J19" s="223"/>
      <c r="K19" s="222"/>
      <c r="L19" s="619">
        <v>408991</v>
      </c>
      <c r="M19" s="620"/>
      <c r="N19" s="11"/>
      <c r="O19" s="152"/>
      <c r="P19" s="14"/>
      <c r="Q19" s="222" t="s">
        <v>7</v>
      </c>
      <c r="R19" s="223"/>
      <c r="S19" s="222"/>
      <c r="T19" s="619">
        <v>394908</v>
      </c>
      <c r="U19" s="620"/>
      <c r="V19" s="29"/>
      <c r="W19" s="222" t="s">
        <v>7</v>
      </c>
      <c r="X19" s="223"/>
      <c r="Y19" s="222"/>
      <c r="Z19" s="619">
        <v>285892</v>
      </c>
      <c r="AA19" s="620"/>
      <c r="AB19" s="11"/>
      <c r="AC19" s="152"/>
      <c r="AD19" s="14"/>
      <c r="AE19" s="222" t="s">
        <v>7</v>
      </c>
      <c r="AF19" s="223"/>
      <c r="AG19" s="222"/>
      <c r="AH19" s="619">
        <f>F19+T19</f>
        <v>538598</v>
      </c>
      <c r="AI19" s="620"/>
      <c r="AJ19" s="29"/>
      <c r="AK19" s="222" t="s">
        <v>7</v>
      </c>
      <c r="AL19" s="223"/>
      <c r="AM19" s="222"/>
      <c r="AN19" s="619">
        <f>L19+Z19</f>
        <v>694883</v>
      </c>
      <c r="AO19" s="620"/>
      <c r="AP19" s="11"/>
      <c r="AQ19" s="149"/>
      <c r="AR19" s="231"/>
      <c r="AS19" s="231"/>
      <c r="AT19" s="231"/>
      <c r="AU19" s="231"/>
      <c r="AV19" s="231"/>
      <c r="AW19" s="231"/>
      <c r="AX19" s="231"/>
      <c r="AY19" s="231"/>
      <c r="AZ19" s="231"/>
      <c r="BA19" s="231"/>
      <c r="BB19" s="231"/>
      <c r="BC19" s="231"/>
      <c r="BD19" s="231"/>
      <c r="BE19" s="231"/>
      <c r="BF19" s="231"/>
      <c r="BG19" s="231"/>
      <c r="BH19" s="231"/>
      <c r="BI19" s="231"/>
      <c r="BJ19" s="231"/>
      <c r="BK19" s="231"/>
      <c r="BL19" s="231"/>
      <c r="BM19" s="231"/>
      <c r="BN19" s="231"/>
      <c r="BO19" s="231"/>
      <c r="BP19" s="231"/>
      <c r="BQ19" s="231"/>
      <c r="BR19" s="231"/>
      <c r="BS19" s="231"/>
      <c r="BT19" s="231"/>
    </row>
    <row r="20" spans="2:72" s="147" customFormat="1" ht="18" customHeight="1">
      <c r="B20" s="14"/>
      <c r="C20" s="80"/>
      <c r="D20" s="26"/>
      <c r="E20" s="26"/>
      <c r="F20" s="26"/>
      <c r="G20" s="26"/>
      <c r="H20" s="18"/>
      <c r="I20" s="643"/>
      <c r="J20" s="643"/>
      <c r="K20" s="643"/>
      <c r="L20" s="643"/>
      <c r="M20" s="643"/>
      <c r="N20" s="11"/>
      <c r="O20" s="152"/>
      <c r="P20" s="14"/>
      <c r="Q20" s="80"/>
      <c r="R20" s="26"/>
      <c r="S20" s="26"/>
      <c r="T20" s="26"/>
      <c r="U20" s="26"/>
      <c r="V20" s="18"/>
      <c r="W20" s="643"/>
      <c r="X20" s="643"/>
      <c r="Y20" s="643"/>
      <c r="Z20" s="643"/>
      <c r="AA20" s="643"/>
      <c r="AB20" s="11"/>
      <c r="AC20" s="152"/>
      <c r="AD20" s="14"/>
      <c r="AE20" s="80"/>
      <c r="AF20" s="26"/>
      <c r="AG20" s="26"/>
      <c r="AH20" s="26"/>
      <c r="AI20" s="26"/>
      <c r="AJ20" s="18"/>
      <c r="AK20" s="643"/>
      <c r="AL20" s="643"/>
      <c r="AM20" s="643"/>
      <c r="AN20" s="643"/>
      <c r="AO20" s="643"/>
      <c r="AP20" s="11"/>
      <c r="AQ20" s="149"/>
      <c r="AR20" s="231"/>
      <c r="AS20" s="231"/>
      <c r="AT20" s="231"/>
      <c r="AU20" s="231"/>
      <c r="AV20" s="231"/>
      <c r="AW20" s="231"/>
      <c r="AX20" s="231"/>
      <c r="AY20" s="231"/>
      <c r="AZ20" s="231"/>
      <c r="BA20" s="231"/>
      <c r="BB20" s="231"/>
      <c r="BC20" s="231"/>
      <c r="BD20" s="231"/>
      <c r="BE20" s="231"/>
      <c r="BF20" s="231"/>
      <c r="BG20" s="231"/>
      <c r="BH20" s="231"/>
      <c r="BI20" s="231"/>
      <c r="BJ20" s="231"/>
      <c r="BK20" s="231"/>
      <c r="BL20" s="231"/>
      <c r="BM20" s="231"/>
      <c r="BN20" s="231"/>
      <c r="BO20" s="231"/>
      <c r="BP20" s="231"/>
      <c r="BQ20" s="231"/>
      <c r="BR20" s="231"/>
      <c r="BS20" s="231"/>
      <c r="BT20" s="231"/>
    </row>
    <row r="21" spans="2:72" s="147" customFormat="1" ht="18" customHeight="1">
      <c r="B21" s="14"/>
      <c r="C21" s="218" t="s">
        <v>4</v>
      </c>
      <c r="D21" s="224"/>
      <c r="E21" s="218"/>
      <c r="F21" s="644">
        <v>2009</v>
      </c>
      <c r="G21" s="645"/>
      <c r="H21" s="29"/>
      <c r="I21" s="338" t="s">
        <v>4</v>
      </c>
      <c r="J21" s="339"/>
      <c r="K21" s="338"/>
      <c r="L21" s="646" t="s">
        <v>116</v>
      </c>
      <c r="M21" s="647"/>
      <c r="N21" s="11"/>
      <c r="O21" s="152"/>
      <c r="P21" s="14"/>
      <c r="Q21" s="218"/>
      <c r="R21" s="224"/>
      <c r="S21" s="218"/>
      <c r="T21" s="644"/>
      <c r="U21" s="645"/>
      <c r="V21" s="29"/>
      <c r="W21" s="225" t="s">
        <v>4</v>
      </c>
      <c r="X21" s="226"/>
      <c r="Y21" s="225"/>
      <c r="Z21" s="648" t="s">
        <v>116</v>
      </c>
      <c r="AA21" s="649"/>
      <c r="AB21" s="11"/>
      <c r="AC21" s="152"/>
      <c r="AD21" s="14"/>
      <c r="AE21" s="218" t="s">
        <v>4</v>
      </c>
      <c r="AF21" s="224"/>
      <c r="AG21" s="218"/>
      <c r="AH21" s="650">
        <v>2009</v>
      </c>
      <c r="AI21" s="651"/>
      <c r="AJ21" s="29"/>
      <c r="AK21" s="225"/>
      <c r="AL21" s="226"/>
      <c r="AM21" s="225"/>
      <c r="AN21" s="644"/>
      <c r="AO21" s="645"/>
      <c r="AP21" s="11"/>
      <c r="AQ21" s="149"/>
      <c r="AR21" s="231"/>
      <c r="AS21" s="231"/>
      <c r="AT21" s="231"/>
      <c r="AU21" s="231"/>
      <c r="AV21" s="231"/>
      <c r="AW21" s="231"/>
      <c r="AX21" s="231"/>
      <c r="AY21" s="231"/>
      <c r="AZ21" s="231"/>
      <c r="BA21" s="231"/>
      <c r="BB21" s="231"/>
      <c r="BC21" s="231"/>
      <c r="BD21" s="231"/>
      <c r="BE21" s="231"/>
      <c r="BF21" s="231"/>
      <c r="BG21" s="231"/>
      <c r="BH21" s="231"/>
      <c r="BI21" s="231"/>
      <c r="BJ21" s="231"/>
      <c r="BK21" s="231"/>
      <c r="BL21" s="231"/>
      <c r="BM21" s="231"/>
      <c r="BN21" s="231"/>
      <c r="BO21" s="231"/>
      <c r="BP21" s="231"/>
      <c r="BQ21" s="231"/>
      <c r="BR21" s="231"/>
      <c r="BS21" s="231"/>
      <c r="BT21" s="231"/>
    </row>
    <row r="22" spans="2:72" s="147" customFormat="1" ht="18" customHeight="1">
      <c r="B22" s="14"/>
      <c r="C22" s="218" t="s">
        <v>5</v>
      </c>
      <c r="D22" s="219"/>
      <c r="E22" s="218"/>
      <c r="F22" s="623">
        <v>53872</v>
      </c>
      <c r="G22" s="624"/>
      <c r="H22" s="29"/>
      <c r="I22" s="340" t="s">
        <v>5</v>
      </c>
      <c r="J22" s="341"/>
      <c r="K22" s="340"/>
      <c r="L22" s="625">
        <f aca="true" t="shared" si="0" ref="L22:L27">AVERAGE(F6,L6)</f>
        <v>37710</v>
      </c>
      <c r="M22" s="626"/>
      <c r="N22" s="11"/>
      <c r="O22" s="152"/>
      <c r="P22" s="14"/>
      <c r="Q22" s="218"/>
      <c r="R22" s="219"/>
      <c r="S22" s="218"/>
      <c r="T22" s="623"/>
      <c r="U22" s="624"/>
      <c r="V22" s="29"/>
      <c r="W22" s="218" t="s">
        <v>5</v>
      </c>
      <c r="X22" s="219"/>
      <c r="Y22" s="218"/>
      <c r="Z22" s="623">
        <f aca="true" t="shared" si="1" ref="Z22:Z27">AVERAGE(T6,Z6)</f>
        <v>45527.5</v>
      </c>
      <c r="AA22" s="624"/>
      <c r="AB22" s="11"/>
      <c r="AC22" s="152"/>
      <c r="AD22" s="14"/>
      <c r="AE22" s="218" t="s">
        <v>5</v>
      </c>
      <c r="AF22" s="219"/>
      <c r="AG22" s="218"/>
      <c r="AH22" s="623">
        <f>F22+T22</f>
        <v>53872</v>
      </c>
      <c r="AI22" s="624"/>
      <c r="AJ22" s="79"/>
      <c r="AK22" s="218"/>
      <c r="AL22" s="219"/>
      <c r="AM22" s="218"/>
      <c r="AN22" s="623"/>
      <c r="AO22" s="624"/>
      <c r="AP22" s="11"/>
      <c r="AQ22" s="149"/>
      <c r="AR22" s="231"/>
      <c r="AS22" s="231"/>
      <c r="AT22" s="231"/>
      <c r="AU22" s="231"/>
      <c r="AV22" s="231"/>
      <c r="AW22" s="231"/>
      <c r="AX22" s="231"/>
      <c r="AY22" s="231"/>
      <c r="AZ22" s="231"/>
      <c r="BA22" s="231"/>
      <c r="BB22" s="231"/>
      <c r="BC22" s="231"/>
      <c r="BD22" s="231"/>
      <c r="BE22" s="231"/>
      <c r="BF22" s="231"/>
      <c r="BG22" s="231"/>
      <c r="BH22" s="231"/>
      <c r="BI22" s="231"/>
      <c r="BJ22" s="231"/>
      <c r="BK22" s="231"/>
      <c r="BL22" s="231"/>
      <c r="BM22" s="231"/>
      <c r="BN22" s="231"/>
      <c r="BO22" s="231"/>
      <c r="BP22" s="231"/>
      <c r="BQ22" s="231"/>
      <c r="BR22" s="231"/>
      <c r="BS22" s="231"/>
      <c r="BT22" s="231"/>
    </row>
    <row r="23" spans="2:72" s="147" customFormat="1" ht="18" customHeight="1">
      <c r="B23" s="14"/>
      <c r="C23" s="220" t="s">
        <v>98</v>
      </c>
      <c r="D23" s="221"/>
      <c r="E23" s="220"/>
      <c r="F23" s="639">
        <v>2197</v>
      </c>
      <c r="G23" s="640"/>
      <c r="H23" s="29"/>
      <c r="I23" s="342" t="s">
        <v>98</v>
      </c>
      <c r="J23" s="343"/>
      <c r="K23" s="342"/>
      <c r="L23" s="641">
        <f t="shared" si="0"/>
        <v>1201</v>
      </c>
      <c r="M23" s="642"/>
      <c r="N23" s="11"/>
      <c r="O23" s="152"/>
      <c r="P23" s="14"/>
      <c r="Q23" s="220"/>
      <c r="R23" s="221"/>
      <c r="S23" s="220"/>
      <c r="T23" s="639"/>
      <c r="U23" s="640"/>
      <c r="V23" s="29"/>
      <c r="W23" s="220" t="s">
        <v>98</v>
      </c>
      <c r="X23" s="221"/>
      <c r="Y23" s="220"/>
      <c r="Z23" s="637">
        <f t="shared" si="1"/>
        <v>1089.5</v>
      </c>
      <c r="AA23" s="638"/>
      <c r="AB23" s="11"/>
      <c r="AC23" s="152"/>
      <c r="AD23" s="14"/>
      <c r="AE23" s="220" t="s">
        <v>98</v>
      </c>
      <c r="AF23" s="221"/>
      <c r="AG23" s="220"/>
      <c r="AH23" s="637">
        <f>F23+T23</f>
        <v>2197</v>
      </c>
      <c r="AI23" s="638"/>
      <c r="AJ23" s="79"/>
      <c r="AK23" s="220"/>
      <c r="AL23" s="221"/>
      <c r="AM23" s="220"/>
      <c r="AN23" s="637"/>
      <c r="AO23" s="638"/>
      <c r="AP23" s="11"/>
      <c r="AQ23" s="149"/>
      <c r="AR23" s="231"/>
      <c r="AS23" s="231"/>
      <c r="AT23" s="231"/>
      <c r="AU23" s="231"/>
      <c r="AV23" s="231"/>
      <c r="AW23" s="231"/>
      <c r="AX23" s="231"/>
      <c r="AY23" s="231"/>
      <c r="AZ23" s="231"/>
      <c r="BA23" s="231"/>
      <c r="BB23" s="231"/>
      <c r="BC23" s="231"/>
      <c r="BD23" s="231"/>
      <c r="BE23" s="231"/>
      <c r="BF23" s="231"/>
      <c r="BG23" s="231"/>
      <c r="BH23" s="231"/>
      <c r="BI23" s="231"/>
      <c r="BJ23" s="231"/>
      <c r="BK23" s="231"/>
      <c r="BL23" s="231"/>
      <c r="BM23" s="231"/>
      <c r="BN23" s="231"/>
      <c r="BO23" s="231"/>
      <c r="BP23" s="231"/>
      <c r="BQ23" s="231"/>
      <c r="BR23" s="231"/>
      <c r="BS23" s="231"/>
      <c r="BT23" s="231"/>
    </row>
    <row r="24" spans="2:72" s="147" customFormat="1" ht="18" customHeight="1">
      <c r="B24" s="14"/>
      <c r="C24" s="220" t="s">
        <v>24</v>
      </c>
      <c r="D24" s="221"/>
      <c r="E24" s="220"/>
      <c r="F24" s="631">
        <v>5</v>
      </c>
      <c r="G24" s="632"/>
      <c r="H24" s="29"/>
      <c r="I24" s="342" t="s">
        <v>24</v>
      </c>
      <c r="J24" s="343"/>
      <c r="K24" s="342"/>
      <c r="L24" s="633">
        <f t="shared" si="0"/>
        <v>43.037</v>
      </c>
      <c r="M24" s="634"/>
      <c r="N24" s="11"/>
      <c r="O24" s="152"/>
      <c r="P24" s="14"/>
      <c r="Q24" s="220"/>
      <c r="R24" s="221"/>
      <c r="S24" s="220"/>
      <c r="T24" s="631"/>
      <c r="U24" s="632"/>
      <c r="V24" s="29"/>
      <c r="W24" s="220" t="s">
        <v>24</v>
      </c>
      <c r="X24" s="221"/>
      <c r="Y24" s="220"/>
      <c r="Z24" s="635">
        <f t="shared" si="1"/>
        <v>8.25</v>
      </c>
      <c r="AA24" s="636"/>
      <c r="AB24" s="11"/>
      <c r="AC24" s="152"/>
      <c r="AD24" s="14"/>
      <c r="AE24" s="220" t="s">
        <v>24</v>
      </c>
      <c r="AF24" s="221"/>
      <c r="AG24" s="220"/>
      <c r="AH24" s="637">
        <f>F24+T24</f>
        <v>5</v>
      </c>
      <c r="AI24" s="638"/>
      <c r="AJ24" s="29"/>
      <c r="AK24" s="220"/>
      <c r="AL24" s="221"/>
      <c r="AM24" s="220"/>
      <c r="AN24" s="635"/>
      <c r="AO24" s="636"/>
      <c r="AP24" s="11"/>
      <c r="AQ24" s="149"/>
      <c r="AR24" s="231"/>
      <c r="AS24" s="231"/>
      <c r="AT24" s="231"/>
      <c r="AU24" s="231"/>
      <c r="AV24" s="231"/>
      <c r="AW24" s="231"/>
      <c r="AX24" s="231"/>
      <c r="AY24" s="231"/>
      <c r="AZ24" s="231"/>
      <c r="BA24" s="231"/>
      <c r="BB24" s="231"/>
      <c r="BC24" s="231"/>
      <c r="BD24" s="231"/>
      <c r="BE24" s="231"/>
      <c r="BF24" s="231"/>
      <c r="BG24" s="231"/>
      <c r="BH24" s="231"/>
      <c r="BI24" s="231"/>
      <c r="BJ24" s="231"/>
      <c r="BK24" s="231"/>
      <c r="BL24" s="231"/>
      <c r="BM24" s="231"/>
      <c r="BN24" s="231"/>
      <c r="BO24" s="231"/>
      <c r="BP24" s="231"/>
      <c r="BQ24" s="231"/>
      <c r="BR24" s="231"/>
      <c r="BS24" s="231"/>
      <c r="BT24" s="231"/>
    </row>
    <row r="25" spans="2:72" s="147" customFormat="1" ht="18" customHeight="1">
      <c r="B25" s="14"/>
      <c r="C25" s="222" t="s">
        <v>6</v>
      </c>
      <c r="D25" s="223"/>
      <c r="E25" s="222"/>
      <c r="F25" s="627">
        <f>F22*26+F23*28+F24*1050</f>
        <v>1467438</v>
      </c>
      <c r="G25" s="628"/>
      <c r="H25" s="29"/>
      <c r="I25" s="344" t="s">
        <v>6</v>
      </c>
      <c r="J25" s="345"/>
      <c r="K25" s="344"/>
      <c r="L25" s="629">
        <f t="shared" si="0"/>
        <v>1059276.85</v>
      </c>
      <c r="M25" s="630"/>
      <c r="N25" s="11"/>
      <c r="O25" s="152"/>
      <c r="P25" s="14"/>
      <c r="Q25" s="222"/>
      <c r="R25" s="223"/>
      <c r="S25" s="222"/>
      <c r="T25" s="627"/>
      <c r="U25" s="628"/>
      <c r="V25" s="29"/>
      <c r="W25" s="222" t="s">
        <v>6</v>
      </c>
      <c r="X25" s="223"/>
      <c r="Y25" s="222"/>
      <c r="Z25" s="627">
        <f t="shared" si="1"/>
        <v>1222883.5</v>
      </c>
      <c r="AA25" s="628"/>
      <c r="AB25" s="11"/>
      <c r="AC25" s="152"/>
      <c r="AD25" s="14"/>
      <c r="AE25" s="222" t="s">
        <v>6</v>
      </c>
      <c r="AF25" s="223"/>
      <c r="AG25" s="222"/>
      <c r="AH25" s="627">
        <f>AH22*26+AH23*28+AH24*1050</f>
        <v>1467438</v>
      </c>
      <c r="AI25" s="628"/>
      <c r="AJ25" s="29"/>
      <c r="AK25" s="222"/>
      <c r="AL25" s="223"/>
      <c r="AM25" s="222"/>
      <c r="AN25" s="627"/>
      <c r="AO25" s="628"/>
      <c r="AP25" s="11"/>
      <c r="AQ25" s="149"/>
      <c r="AR25" s="231"/>
      <c r="AS25" s="231"/>
      <c r="AT25" s="231"/>
      <c r="AU25" s="231"/>
      <c r="AV25" s="231"/>
      <c r="AW25" s="231"/>
      <c r="AX25" s="231"/>
      <c r="AY25" s="231"/>
      <c r="AZ25" s="231"/>
      <c r="BA25" s="231"/>
      <c r="BB25" s="231"/>
      <c r="BC25" s="231"/>
      <c r="BD25" s="231"/>
      <c r="BE25" s="231"/>
      <c r="BF25" s="231"/>
      <c r="BG25" s="231"/>
      <c r="BH25" s="231"/>
      <c r="BI25" s="231"/>
      <c r="BJ25" s="231"/>
      <c r="BK25" s="231"/>
      <c r="BL25" s="231"/>
      <c r="BM25" s="231"/>
      <c r="BN25" s="231"/>
      <c r="BO25" s="231"/>
      <c r="BP25" s="231"/>
      <c r="BQ25" s="231"/>
      <c r="BR25" s="231"/>
      <c r="BS25" s="231"/>
      <c r="BT25" s="231"/>
    </row>
    <row r="26" spans="2:72" s="147" customFormat="1" ht="18" customHeight="1">
      <c r="B26" s="14"/>
      <c r="C26" s="218" t="s">
        <v>23</v>
      </c>
      <c r="D26" s="219"/>
      <c r="E26" s="218"/>
      <c r="F26" s="623">
        <f>F27/0.6</f>
        <v>759388.3333333334</v>
      </c>
      <c r="G26" s="624"/>
      <c r="H26" s="29"/>
      <c r="I26" s="340" t="s">
        <v>23</v>
      </c>
      <c r="J26" s="341"/>
      <c r="K26" s="340"/>
      <c r="L26" s="625">
        <f t="shared" si="0"/>
        <v>540982.5</v>
      </c>
      <c r="M26" s="626"/>
      <c r="N26" s="11"/>
      <c r="O26" s="152"/>
      <c r="P26" s="14"/>
      <c r="Q26" s="218"/>
      <c r="R26" s="219"/>
      <c r="S26" s="218"/>
      <c r="T26" s="623"/>
      <c r="U26" s="624"/>
      <c r="V26" s="29"/>
      <c r="W26" s="218" t="s">
        <v>23</v>
      </c>
      <c r="X26" s="219"/>
      <c r="Y26" s="218"/>
      <c r="Z26" s="623">
        <f t="shared" si="1"/>
        <v>636685</v>
      </c>
      <c r="AA26" s="624"/>
      <c r="AB26" s="11"/>
      <c r="AC26" s="152"/>
      <c r="AD26" s="14"/>
      <c r="AE26" s="218" t="s">
        <v>23</v>
      </c>
      <c r="AF26" s="219"/>
      <c r="AG26" s="218"/>
      <c r="AH26" s="623">
        <f>AH27/0.6</f>
        <v>759388.3333333334</v>
      </c>
      <c r="AI26" s="624"/>
      <c r="AJ26" s="29"/>
      <c r="AK26" s="218"/>
      <c r="AL26" s="219"/>
      <c r="AM26" s="218"/>
      <c r="AN26" s="623"/>
      <c r="AO26" s="624"/>
      <c r="AP26" s="11"/>
      <c r="AQ26" s="149"/>
      <c r="AR26" s="231"/>
      <c r="AS26" s="231"/>
      <c r="AT26" s="231"/>
      <c r="AU26" s="231"/>
      <c r="AV26" s="231"/>
      <c r="AW26" s="231"/>
      <c r="AX26" s="231"/>
      <c r="AY26" s="231"/>
      <c r="AZ26" s="231"/>
      <c r="BA26" s="231"/>
      <c r="BB26" s="231"/>
      <c r="BC26" s="231"/>
      <c r="BD26" s="231"/>
      <c r="BE26" s="231"/>
      <c r="BF26" s="231"/>
      <c r="BG26" s="231"/>
      <c r="BH26" s="231"/>
      <c r="BI26" s="231"/>
      <c r="BJ26" s="231"/>
      <c r="BK26" s="231"/>
      <c r="BL26" s="231"/>
      <c r="BM26" s="231"/>
      <c r="BN26" s="231"/>
      <c r="BO26" s="231"/>
      <c r="BP26" s="231"/>
      <c r="BQ26" s="231"/>
      <c r="BR26" s="231"/>
      <c r="BS26" s="231"/>
      <c r="BT26" s="231"/>
    </row>
    <row r="27" spans="2:72" s="147" customFormat="1" ht="18" customHeight="1">
      <c r="B27" s="14"/>
      <c r="C27" s="222" t="s">
        <v>7</v>
      </c>
      <c r="D27" s="223"/>
      <c r="E27" s="222"/>
      <c r="F27" s="619">
        <v>455633</v>
      </c>
      <c r="G27" s="620"/>
      <c r="H27" s="29"/>
      <c r="I27" s="344" t="s">
        <v>7</v>
      </c>
      <c r="J27" s="345"/>
      <c r="K27" s="344"/>
      <c r="L27" s="621">
        <f t="shared" si="0"/>
        <v>324589.5</v>
      </c>
      <c r="M27" s="622"/>
      <c r="N27" s="11"/>
      <c r="O27" s="152"/>
      <c r="P27" s="14"/>
      <c r="Q27" s="222"/>
      <c r="R27" s="223"/>
      <c r="S27" s="222"/>
      <c r="T27" s="619"/>
      <c r="U27" s="620"/>
      <c r="V27" s="29"/>
      <c r="W27" s="222" t="s">
        <v>7</v>
      </c>
      <c r="X27" s="223"/>
      <c r="Y27" s="222"/>
      <c r="Z27" s="619">
        <f t="shared" si="1"/>
        <v>382011</v>
      </c>
      <c r="AA27" s="620"/>
      <c r="AB27" s="11"/>
      <c r="AC27" s="152"/>
      <c r="AD27" s="14"/>
      <c r="AE27" s="222" t="s">
        <v>7</v>
      </c>
      <c r="AF27" s="223"/>
      <c r="AG27" s="222"/>
      <c r="AH27" s="619">
        <f>F27+T27</f>
        <v>455633</v>
      </c>
      <c r="AI27" s="620"/>
      <c r="AJ27" s="29"/>
      <c r="AK27" s="222"/>
      <c r="AL27" s="223"/>
      <c r="AM27" s="222"/>
      <c r="AN27" s="619"/>
      <c r="AO27" s="620"/>
      <c r="AP27" s="11"/>
      <c r="AQ27" s="149"/>
      <c r="AR27" s="231"/>
      <c r="AS27" s="231"/>
      <c r="AT27" s="231"/>
      <c r="AU27" s="231"/>
      <c r="AV27" s="231"/>
      <c r="AW27" s="231"/>
      <c r="AX27" s="231"/>
      <c r="AY27" s="231"/>
      <c r="AZ27" s="231"/>
      <c r="BA27" s="231"/>
      <c r="BB27" s="231"/>
      <c r="BC27" s="231"/>
      <c r="BD27" s="231"/>
      <c r="BE27" s="231"/>
      <c r="BF27" s="231"/>
      <c r="BG27" s="231"/>
      <c r="BH27" s="231"/>
      <c r="BI27" s="231"/>
      <c r="BJ27" s="231"/>
      <c r="BK27" s="231"/>
      <c r="BL27" s="231"/>
      <c r="BM27" s="231"/>
      <c r="BN27" s="231"/>
      <c r="BO27" s="231"/>
      <c r="BP27" s="231"/>
      <c r="BQ27" s="231"/>
      <c r="BR27" s="231"/>
      <c r="BS27" s="231"/>
      <c r="BT27" s="231"/>
    </row>
    <row r="28" spans="2:72" s="147" customFormat="1" ht="18" customHeight="1">
      <c r="B28" s="14"/>
      <c r="C28" s="23" t="s">
        <v>119</v>
      </c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11"/>
      <c r="O28" s="152"/>
      <c r="P28" s="14"/>
      <c r="Q28" s="23" t="s">
        <v>119</v>
      </c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11"/>
      <c r="AC28" s="152"/>
      <c r="AD28" s="14"/>
      <c r="AE28" s="23" t="s">
        <v>119</v>
      </c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11"/>
      <c r="AQ28" s="149"/>
      <c r="AR28" s="231"/>
      <c r="AS28" s="231"/>
      <c r="AT28" s="231"/>
      <c r="AU28" s="231"/>
      <c r="AV28" s="231"/>
      <c r="AW28" s="231"/>
      <c r="AX28" s="231"/>
      <c r="AY28" s="231"/>
      <c r="AZ28" s="231"/>
      <c r="BA28" s="231"/>
      <c r="BB28" s="231"/>
      <c r="BC28" s="231"/>
      <c r="BD28" s="231"/>
      <c r="BE28" s="231"/>
      <c r="BF28" s="231"/>
      <c r="BG28" s="231"/>
      <c r="BH28" s="231"/>
      <c r="BI28" s="231"/>
      <c r="BJ28" s="231"/>
      <c r="BK28" s="231"/>
      <c r="BL28" s="231"/>
      <c r="BM28" s="231"/>
      <c r="BN28" s="231"/>
      <c r="BO28" s="231"/>
      <c r="BP28" s="231"/>
      <c r="BQ28" s="231"/>
      <c r="BR28" s="231"/>
      <c r="BS28" s="231"/>
      <c r="BT28" s="231"/>
    </row>
    <row r="29" spans="2:72" s="147" customFormat="1" ht="18" customHeight="1">
      <c r="B29" s="14"/>
      <c r="C29" s="23" t="s">
        <v>33</v>
      </c>
      <c r="D29" s="18"/>
      <c r="E29" s="18"/>
      <c r="F29" s="18"/>
      <c r="G29" s="18"/>
      <c r="H29" s="18"/>
      <c r="I29" s="159"/>
      <c r="J29" s="122"/>
      <c r="K29" s="122"/>
      <c r="L29" s="182"/>
      <c r="M29" s="182"/>
      <c r="N29" s="11"/>
      <c r="O29" s="152"/>
      <c r="P29" s="14"/>
      <c r="Q29" s="23" t="s">
        <v>33</v>
      </c>
      <c r="R29" s="18"/>
      <c r="S29" s="18"/>
      <c r="T29" s="18"/>
      <c r="U29" s="18"/>
      <c r="V29" s="18"/>
      <c r="W29" s="159"/>
      <c r="X29" s="122"/>
      <c r="Y29" s="122"/>
      <c r="Z29" s="182"/>
      <c r="AA29" s="182"/>
      <c r="AB29" s="11"/>
      <c r="AC29" s="152"/>
      <c r="AD29" s="14"/>
      <c r="AE29" s="23" t="s">
        <v>33</v>
      </c>
      <c r="AF29" s="18"/>
      <c r="AG29" s="18"/>
      <c r="AH29" s="18"/>
      <c r="AI29" s="18"/>
      <c r="AJ29" s="18"/>
      <c r="AK29" s="159"/>
      <c r="AL29" s="122"/>
      <c r="AM29" s="122"/>
      <c r="AN29" s="182"/>
      <c r="AO29" s="182"/>
      <c r="AP29" s="11"/>
      <c r="AQ29" s="149"/>
      <c r="AR29" s="231"/>
      <c r="AS29" s="231"/>
      <c r="AT29" s="231"/>
      <c r="AU29" s="231"/>
      <c r="AV29" s="231"/>
      <c r="AW29" s="231"/>
      <c r="AX29" s="231"/>
      <c r="AY29" s="231"/>
      <c r="AZ29" s="231"/>
      <c r="BA29" s="231"/>
      <c r="BB29" s="231"/>
      <c r="BC29" s="231"/>
      <c r="BD29" s="231"/>
      <c r="BE29" s="231"/>
      <c r="BF29" s="231"/>
      <c r="BG29" s="231"/>
      <c r="BH29" s="231"/>
      <c r="BI29" s="231"/>
      <c r="BJ29" s="231"/>
      <c r="BK29" s="231"/>
      <c r="BL29" s="231"/>
      <c r="BM29" s="231"/>
      <c r="BN29" s="231"/>
      <c r="BO29" s="231"/>
      <c r="BP29" s="231"/>
      <c r="BQ29" s="231"/>
      <c r="BR29" s="231"/>
      <c r="BS29" s="231"/>
      <c r="BT29" s="231"/>
    </row>
    <row r="30" spans="2:72" s="147" customFormat="1" ht="18" customHeight="1">
      <c r="B30" s="14"/>
      <c r="C30" s="23"/>
      <c r="D30" s="18"/>
      <c r="E30" s="18"/>
      <c r="F30" s="18"/>
      <c r="G30" s="18"/>
      <c r="H30" s="18"/>
      <c r="I30" s="325" t="s">
        <v>75</v>
      </c>
      <c r="J30" s="122"/>
      <c r="K30" s="122"/>
      <c r="L30" s="158"/>
      <c r="M30" s="158"/>
      <c r="N30" s="11"/>
      <c r="O30" s="152"/>
      <c r="P30" s="14"/>
      <c r="Q30" s="23"/>
      <c r="R30" s="18"/>
      <c r="S30" s="18"/>
      <c r="T30" s="18"/>
      <c r="U30" s="18"/>
      <c r="V30" s="18"/>
      <c r="W30" s="325" t="s">
        <v>75</v>
      </c>
      <c r="X30" s="122"/>
      <c r="Y30" s="122"/>
      <c r="Z30" s="158"/>
      <c r="AA30" s="158"/>
      <c r="AB30" s="11"/>
      <c r="AC30" s="152"/>
      <c r="AD30" s="14"/>
      <c r="AE30" s="23"/>
      <c r="AF30" s="18"/>
      <c r="AG30" s="18"/>
      <c r="AH30" s="18"/>
      <c r="AI30" s="18"/>
      <c r="AJ30" s="18"/>
      <c r="AK30" s="325" t="s">
        <v>75</v>
      </c>
      <c r="AL30" s="122"/>
      <c r="AM30" s="122"/>
      <c r="AN30" s="158"/>
      <c r="AO30" s="158"/>
      <c r="AP30" s="11"/>
      <c r="AQ30" s="149"/>
      <c r="AR30" s="231"/>
      <c r="AS30" s="231"/>
      <c r="AT30" s="231"/>
      <c r="AU30" s="231"/>
      <c r="AV30" s="231"/>
      <c r="AW30" s="231"/>
      <c r="AX30" s="231"/>
      <c r="AY30" s="231"/>
      <c r="AZ30" s="231"/>
      <c r="BA30" s="231"/>
      <c r="BB30" s="231"/>
      <c r="BC30" s="231"/>
      <c r="BD30" s="231"/>
      <c r="BE30" s="231"/>
      <c r="BF30" s="231"/>
      <c r="BG30" s="231"/>
      <c r="BH30" s="231"/>
      <c r="BI30" s="231"/>
      <c r="BJ30" s="231"/>
      <c r="BK30" s="231"/>
      <c r="BL30" s="231"/>
      <c r="BM30" s="231"/>
      <c r="BN30" s="231"/>
      <c r="BO30" s="231"/>
      <c r="BP30" s="231"/>
      <c r="BQ30" s="231"/>
      <c r="BR30" s="231"/>
      <c r="BS30" s="231"/>
      <c r="BT30" s="231"/>
    </row>
    <row r="31" spans="2:72" s="147" customFormat="1" ht="18" customHeight="1">
      <c r="B31" s="14"/>
      <c r="C31" s="326"/>
      <c r="D31" s="327" t="s">
        <v>157</v>
      </c>
      <c r="E31" s="18"/>
      <c r="F31" s="18"/>
      <c r="G31" s="18"/>
      <c r="H31" s="18"/>
      <c r="I31" s="218"/>
      <c r="J31" s="224"/>
      <c r="K31" s="227"/>
      <c r="L31" s="228" t="s">
        <v>106</v>
      </c>
      <c r="M31" s="229" t="s">
        <v>67</v>
      </c>
      <c r="N31" s="11"/>
      <c r="O31" s="152"/>
      <c r="P31" s="14"/>
      <c r="Q31" s="23"/>
      <c r="R31" s="18"/>
      <c r="S31" s="18"/>
      <c r="T31" s="18"/>
      <c r="U31" s="18"/>
      <c r="V31" s="18"/>
      <c r="W31" s="218"/>
      <c r="X31" s="224"/>
      <c r="Y31" s="227"/>
      <c r="Z31" s="228" t="s">
        <v>106</v>
      </c>
      <c r="AA31" s="229" t="s">
        <v>67</v>
      </c>
      <c r="AB31" s="11"/>
      <c r="AC31" s="152"/>
      <c r="AD31" s="14"/>
      <c r="AE31" s="23"/>
      <c r="AF31" s="18"/>
      <c r="AG31" s="18"/>
      <c r="AH31" s="18"/>
      <c r="AI31" s="18"/>
      <c r="AJ31" s="18"/>
      <c r="AK31" s="218"/>
      <c r="AL31" s="224"/>
      <c r="AM31" s="227"/>
      <c r="AN31" s="228" t="s">
        <v>106</v>
      </c>
      <c r="AO31" s="229" t="s">
        <v>67</v>
      </c>
      <c r="AP31" s="11"/>
      <c r="AQ31" s="149"/>
      <c r="AR31" s="231"/>
      <c r="AS31" s="231"/>
      <c r="AT31" s="231"/>
      <c r="AU31" s="231"/>
      <c r="AV31" s="231"/>
      <c r="AW31" s="231"/>
      <c r="AX31" s="231"/>
      <c r="AY31" s="231"/>
      <c r="AZ31" s="231"/>
      <c r="BA31" s="231"/>
      <c r="BB31" s="231"/>
      <c r="BC31" s="231"/>
      <c r="BD31" s="231"/>
      <c r="BE31" s="231"/>
      <c r="BF31" s="231"/>
      <c r="BG31" s="231"/>
      <c r="BH31" s="231"/>
      <c r="BI31" s="231"/>
      <c r="BJ31" s="231"/>
      <c r="BK31" s="231"/>
      <c r="BL31" s="231"/>
      <c r="BM31" s="231"/>
      <c r="BN31" s="231"/>
      <c r="BO31" s="231"/>
      <c r="BP31" s="231"/>
      <c r="BQ31" s="231"/>
      <c r="BR31" s="231"/>
      <c r="BS31" s="231"/>
      <c r="BT31" s="231"/>
    </row>
    <row r="32" spans="2:72" s="147" customFormat="1" ht="18" customHeight="1" hidden="1">
      <c r="B32" s="14"/>
      <c r="C32" s="23"/>
      <c r="D32" s="18"/>
      <c r="E32" s="18"/>
      <c r="F32" s="18"/>
      <c r="G32" s="18"/>
      <c r="H32" s="18"/>
      <c r="I32" s="443" t="s">
        <v>117</v>
      </c>
      <c r="J32" s="221"/>
      <c r="K32" s="230"/>
      <c r="L32" s="232">
        <f>AVERAGE(F27,F19,F11,L19,L11)</f>
        <v>331498.6</v>
      </c>
      <c r="M32" s="234">
        <f>AVERAGE(F9,L9,F17,L17,F25)</f>
        <v>1080156.31</v>
      </c>
      <c r="N32" s="11"/>
      <c r="O32" s="152"/>
      <c r="P32" s="14"/>
      <c r="Q32" s="23"/>
      <c r="R32" s="18"/>
      <c r="S32" s="18"/>
      <c r="T32" s="18"/>
      <c r="U32" s="18"/>
      <c r="V32" s="18"/>
      <c r="W32" s="233" t="s">
        <v>118</v>
      </c>
      <c r="X32" s="223"/>
      <c r="Y32" s="230"/>
      <c r="Z32" s="232">
        <f>AVERAGE(T27,T19,T11,Z19,Z11)</f>
        <v>361205.5</v>
      </c>
      <c r="AA32" s="234">
        <f>AVERAGE(T9,Z9,T17,Z17,T25)</f>
        <v>1123739.625</v>
      </c>
      <c r="AB32" s="11"/>
      <c r="AC32" s="152"/>
      <c r="AD32" s="14"/>
      <c r="AE32" s="23"/>
      <c r="AF32" s="18"/>
      <c r="AG32" s="18"/>
      <c r="AH32" s="18"/>
      <c r="AI32" s="18"/>
      <c r="AJ32" s="18"/>
      <c r="AK32" s="222" t="s">
        <v>117</v>
      </c>
      <c r="AL32" s="223"/>
      <c r="AM32" s="230"/>
      <c r="AN32" s="232">
        <f>AVERAGE(AH27,AH19,AH11,AN19,AN11)</f>
        <v>620463</v>
      </c>
      <c r="AO32" s="234">
        <f>AVERAGE(AH9,AN9,AH17,AN17,AH25)</f>
        <v>1933992.23</v>
      </c>
      <c r="AP32" s="11"/>
      <c r="AQ32" s="149"/>
      <c r="AR32" s="231"/>
      <c r="AS32" s="231"/>
      <c r="AT32" s="231"/>
      <c r="AU32" s="231"/>
      <c r="AV32" s="231"/>
      <c r="AW32" s="231"/>
      <c r="AX32" s="231"/>
      <c r="AY32" s="231"/>
      <c r="AZ32" s="231"/>
      <c r="BA32" s="231"/>
      <c r="BB32" s="231"/>
      <c r="BC32" s="231"/>
      <c r="BD32" s="231"/>
      <c r="BE32" s="231"/>
      <c r="BF32" s="231"/>
      <c r="BG32" s="231"/>
      <c r="BH32" s="231"/>
      <c r="BI32" s="231"/>
      <c r="BJ32" s="231"/>
      <c r="BK32" s="231"/>
      <c r="BL32" s="231"/>
      <c r="BM32" s="231"/>
      <c r="BN32" s="231"/>
      <c r="BO32" s="231"/>
      <c r="BP32" s="231"/>
      <c r="BQ32" s="231"/>
      <c r="BR32" s="231"/>
      <c r="BS32" s="231"/>
      <c r="BT32" s="231"/>
    </row>
    <row r="33" spans="2:72" s="147" customFormat="1" ht="18" customHeight="1">
      <c r="B33" s="14"/>
      <c r="C33" s="327"/>
      <c r="D33" s="327"/>
      <c r="E33" s="18"/>
      <c r="F33" s="444"/>
      <c r="G33" s="445"/>
      <c r="H33" s="445"/>
      <c r="I33" s="446" t="s">
        <v>165</v>
      </c>
      <c r="J33" s="339"/>
      <c r="K33" s="230"/>
      <c r="L33" s="232">
        <f>0.9*800000</f>
        <v>720000</v>
      </c>
      <c r="M33" s="234">
        <f>L33/L32*M32</f>
        <v>2346050.7622053307</v>
      </c>
      <c r="N33" s="11"/>
      <c r="O33" s="152"/>
      <c r="P33" s="14"/>
      <c r="Q33" s="23"/>
      <c r="R33" s="18"/>
      <c r="S33" s="18"/>
      <c r="T33" s="444"/>
      <c r="U33" s="445"/>
      <c r="V33" s="445"/>
      <c r="W33" s="446" t="s">
        <v>165</v>
      </c>
      <c r="X33" s="339"/>
      <c r="Y33" s="230"/>
      <c r="Z33" s="232">
        <f>0.9*1095000</f>
        <v>985500</v>
      </c>
      <c r="AA33" s="234">
        <f>Z33/Z32*AA32</f>
        <v>3065970.480619758</v>
      </c>
      <c r="AB33" s="11"/>
      <c r="AC33" s="152"/>
      <c r="AD33" s="14"/>
      <c r="AE33" s="23"/>
      <c r="AF33" s="18"/>
      <c r="AG33" s="18"/>
      <c r="AH33" s="444"/>
      <c r="AI33" s="445"/>
      <c r="AJ33" s="445"/>
      <c r="AK33" s="446" t="s">
        <v>165</v>
      </c>
      <c r="AL33" s="339"/>
      <c r="AM33" s="230"/>
      <c r="AN33" s="232">
        <f>SUM(L33,Z33)</f>
        <v>1705500</v>
      </c>
      <c r="AO33" s="234">
        <f>AN33/AN32*AO32</f>
        <v>5316068.400960251</v>
      </c>
      <c r="AP33" s="11"/>
      <c r="AQ33" s="149"/>
      <c r="AR33" s="231"/>
      <c r="AS33" s="231"/>
      <c r="AT33" s="231"/>
      <c r="AU33" s="231"/>
      <c r="AV33" s="231"/>
      <c r="AW33" s="231"/>
      <c r="AX33" s="231"/>
      <c r="AY33" s="231"/>
      <c r="AZ33" s="231"/>
      <c r="BA33" s="231"/>
      <c r="BB33" s="231"/>
      <c r="BC33" s="231"/>
      <c r="BD33" s="231"/>
      <c r="BE33" s="231"/>
      <c r="BF33" s="231"/>
      <c r="BG33" s="231"/>
      <c r="BH33" s="231"/>
      <c r="BI33" s="231"/>
      <c r="BJ33" s="231"/>
      <c r="BK33" s="231"/>
      <c r="BL33" s="231"/>
      <c r="BM33" s="231"/>
      <c r="BN33" s="231"/>
      <c r="BO33" s="231"/>
      <c r="BP33" s="231"/>
      <c r="BQ33" s="231"/>
      <c r="BR33" s="231"/>
      <c r="BS33" s="231"/>
      <c r="BT33" s="231"/>
    </row>
    <row r="34" spans="2:72" s="147" customFormat="1" ht="18" customHeight="1" thickBot="1">
      <c r="B34" s="21"/>
      <c r="C34" s="89"/>
      <c r="D34" s="75"/>
      <c r="E34" s="75"/>
      <c r="F34" s="75"/>
      <c r="G34" s="75"/>
      <c r="H34" s="75"/>
      <c r="I34" s="75"/>
      <c r="J34" s="91"/>
      <c r="K34" s="13"/>
      <c r="L34" s="13"/>
      <c r="M34" s="13"/>
      <c r="N34" s="12"/>
      <c r="O34" s="152"/>
      <c r="P34" s="21"/>
      <c r="Q34" s="89"/>
      <c r="R34" s="75"/>
      <c r="S34" s="75"/>
      <c r="T34" s="75"/>
      <c r="U34" s="75"/>
      <c r="V34" s="75"/>
      <c r="W34" s="75"/>
      <c r="X34" s="91"/>
      <c r="Y34" s="13"/>
      <c r="Z34" s="13"/>
      <c r="AA34" s="13"/>
      <c r="AB34" s="12"/>
      <c r="AC34" s="152"/>
      <c r="AD34" s="21"/>
      <c r="AE34" s="89"/>
      <c r="AF34" s="75"/>
      <c r="AG34" s="75"/>
      <c r="AH34" s="75"/>
      <c r="AI34" s="75"/>
      <c r="AJ34" s="75"/>
      <c r="AK34" s="75"/>
      <c r="AL34" s="91"/>
      <c r="AM34" s="13"/>
      <c r="AN34" s="13"/>
      <c r="AO34" s="13"/>
      <c r="AP34" s="12"/>
      <c r="AQ34" s="149"/>
      <c r="AR34" s="231"/>
      <c r="AS34" s="231"/>
      <c r="AT34" s="231"/>
      <c r="AU34" s="231"/>
      <c r="AV34" s="231"/>
      <c r="AW34" s="231"/>
      <c r="AX34" s="231"/>
      <c r="AY34" s="231"/>
      <c r="AZ34" s="231"/>
      <c r="BA34" s="231"/>
      <c r="BB34" s="231"/>
      <c r="BC34" s="231"/>
      <c r="BD34" s="231"/>
      <c r="BE34" s="231"/>
      <c r="BF34" s="231"/>
      <c r="BG34" s="231"/>
      <c r="BH34" s="231"/>
      <c r="BI34" s="231"/>
      <c r="BJ34" s="231"/>
      <c r="BK34" s="231"/>
      <c r="BL34" s="231"/>
      <c r="BM34" s="231"/>
      <c r="BN34" s="231"/>
      <c r="BO34" s="231"/>
      <c r="BP34" s="231"/>
      <c r="BQ34" s="231"/>
      <c r="BR34" s="231"/>
      <c r="BS34" s="231"/>
      <c r="BT34" s="231"/>
    </row>
    <row r="35" spans="43:72" s="147" customFormat="1" ht="18" customHeight="1" thickTop="1">
      <c r="AQ35" s="149"/>
      <c r="AR35" s="231"/>
      <c r="AS35" s="231"/>
      <c r="AT35" s="231"/>
      <c r="AU35" s="231"/>
      <c r="AV35" s="231"/>
      <c r="AW35" s="231"/>
      <c r="AX35" s="231"/>
      <c r="AY35" s="231"/>
      <c r="AZ35" s="231"/>
      <c r="BA35" s="231"/>
      <c r="BB35" s="231"/>
      <c r="BC35" s="231"/>
      <c r="BD35" s="231"/>
      <c r="BE35" s="231"/>
      <c r="BF35" s="231"/>
      <c r="BG35" s="231"/>
      <c r="BH35" s="231"/>
      <c r="BI35" s="231"/>
      <c r="BJ35" s="231"/>
      <c r="BK35" s="231"/>
      <c r="BL35" s="231"/>
      <c r="BM35" s="231"/>
      <c r="BN35" s="231"/>
      <c r="BO35" s="231"/>
      <c r="BP35" s="231"/>
      <c r="BQ35" s="231"/>
      <c r="BR35" s="231"/>
      <c r="BS35" s="231"/>
      <c r="BT35" s="231"/>
    </row>
    <row r="216" ht="18" customHeight="1"/>
    <row r="217" ht="18" customHeight="1"/>
    <row r="218" ht="18" customHeight="1"/>
    <row r="219" ht="18" customHeight="1"/>
    <row r="220" ht="18" customHeight="1"/>
    <row r="221" ht="18" customHeight="1"/>
    <row r="222" ht="18" customHeight="1"/>
    <row r="223" ht="18" customHeight="1"/>
    <row r="224" ht="18" customHeight="1"/>
    <row r="225" ht="18" customHeight="1"/>
    <row r="226" ht="18" customHeight="1"/>
    <row r="227" ht="18" customHeight="1"/>
    <row r="228" ht="18" customHeight="1"/>
    <row r="229" ht="18" customHeight="1"/>
    <row r="230" ht="18" customHeight="1"/>
    <row r="231" ht="18" customHeight="1"/>
    <row r="232" ht="18" customHeight="1"/>
    <row r="233" ht="18" customHeight="1"/>
    <row r="234" ht="18" customHeight="1"/>
  </sheetData>
  <sheetProtection/>
  <mergeCells count="132">
    <mergeCell ref="C3:M3"/>
    <mergeCell ref="Q3:AA3"/>
    <mergeCell ref="AE3:AO3"/>
    <mergeCell ref="F5:G5"/>
    <mergeCell ref="L5:M5"/>
    <mergeCell ref="T5:U5"/>
    <mergeCell ref="Z5:AA5"/>
    <mergeCell ref="AH5:AI5"/>
    <mergeCell ref="AN5:AO5"/>
    <mergeCell ref="F6:G6"/>
    <mergeCell ref="L6:M6"/>
    <mergeCell ref="T6:U6"/>
    <mergeCell ref="Z6:AA6"/>
    <mergeCell ref="AH6:AI6"/>
    <mergeCell ref="AN6:AO6"/>
    <mergeCell ref="F7:G7"/>
    <mergeCell ref="L7:M7"/>
    <mergeCell ref="T7:U7"/>
    <mergeCell ref="Z7:AA7"/>
    <mergeCell ref="AH7:AI7"/>
    <mergeCell ref="AN7:AO7"/>
    <mergeCell ref="F8:G8"/>
    <mergeCell ref="L8:M8"/>
    <mergeCell ref="T8:U8"/>
    <mergeCell ref="Z8:AA8"/>
    <mergeCell ref="AH8:AI8"/>
    <mergeCell ref="AN8:AO8"/>
    <mergeCell ref="F9:G9"/>
    <mergeCell ref="L9:M9"/>
    <mergeCell ref="T9:U9"/>
    <mergeCell ref="Z9:AA9"/>
    <mergeCell ref="AH9:AI9"/>
    <mergeCell ref="AN9:AO9"/>
    <mergeCell ref="F10:G10"/>
    <mergeCell ref="L10:M10"/>
    <mergeCell ref="T10:U10"/>
    <mergeCell ref="Z10:AA10"/>
    <mergeCell ref="AH10:AI10"/>
    <mergeCell ref="AN10:AO10"/>
    <mergeCell ref="F11:G11"/>
    <mergeCell ref="L11:M11"/>
    <mergeCell ref="T11:U11"/>
    <mergeCell ref="Z11:AA11"/>
    <mergeCell ref="AH11:AI11"/>
    <mergeCell ref="AN11:AO11"/>
    <mergeCell ref="F13:G13"/>
    <mergeCell ref="L13:M13"/>
    <mergeCell ref="T13:U13"/>
    <mergeCell ref="Z13:AA13"/>
    <mergeCell ref="AH13:AI13"/>
    <mergeCell ref="AN13:AO13"/>
    <mergeCell ref="F14:G14"/>
    <mergeCell ref="L14:M14"/>
    <mergeCell ref="T14:U14"/>
    <mergeCell ref="Z14:AA14"/>
    <mergeCell ref="AH14:AI14"/>
    <mergeCell ref="AN14:AO14"/>
    <mergeCell ref="F15:G15"/>
    <mergeCell ref="L15:M15"/>
    <mergeCell ref="T15:U15"/>
    <mergeCell ref="Z15:AA15"/>
    <mergeCell ref="AH15:AI15"/>
    <mergeCell ref="AN15:AO15"/>
    <mergeCell ref="F16:G16"/>
    <mergeCell ref="L16:M16"/>
    <mergeCell ref="T16:U16"/>
    <mergeCell ref="Z16:AA16"/>
    <mergeCell ref="AH16:AI16"/>
    <mergeCell ref="AN16:AO16"/>
    <mergeCell ref="F17:G17"/>
    <mergeCell ref="L17:M17"/>
    <mergeCell ref="T17:U17"/>
    <mergeCell ref="Z17:AA17"/>
    <mergeCell ref="AH17:AI17"/>
    <mergeCell ref="AN17:AO17"/>
    <mergeCell ref="F18:G18"/>
    <mergeCell ref="L18:M18"/>
    <mergeCell ref="T18:U18"/>
    <mergeCell ref="Z18:AA18"/>
    <mergeCell ref="AH18:AI18"/>
    <mergeCell ref="AN18:AO18"/>
    <mergeCell ref="F19:G19"/>
    <mergeCell ref="L19:M19"/>
    <mergeCell ref="T19:U19"/>
    <mergeCell ref="Z19:AA19"/>
    <mergeCell ref="AH19:AI19"/>
    <mergeCell ref="AN19:AO19"/>
    <mergeCell ref="I20:M20"/>
    <mergeCell ref="W20:AA20"/>
    <mergeCell ref="AK20:AO20"/>
    <mergeCell ref="F21:G21"/>
    <mergeCell ref="L21:M21"/>
    <mergeCell ref="T21:U21"/>
    <mergeCell ref="Z21:AA21"/>
    <mergeCell ref="AH21:AI21"/>
    <mergeCell ref="AN21:AO21"/>
    <mergeCell ref="F22:G22"/>
    <mergeCell ref="L22:M22"/>
    <mergeCell ref="T22:U22"/>
    <mergeCell ref="Z22:AA22"/>
    <mergeCell ref="AH22:AI22"/>
    <mergeCell ref="AN22:AO22"/>
    <mergeCell ref="F23:G23"/>
    <mergeCell ref="L23:M23"/>
    <mergeCell ref="T23:U23"/>
    <mergeCell ref="Z23:AA23"/>
    <mergeCell ref="AH23:AI23"/>
    <mergeCell ref="AN23:AO23"/>
    <mergeCell ref="F24:G24"/>
    <mergeCell ref="L24:M24"/>
    <mergeCell ref="T24:U24"/>
    <mergeCell ref="Z24:AA24"/>
    <mergeCell ref="AH24:AI24"/>
    <mergeCell ref="AN24:AO24"/>
    <mergeCell ref="F25:G25"/>
    <mergeCell ref="L25:M25"/>
    <mergeCell ref="T25:U25"/>
    <mergeCell ref="Z25:AA25"/>
    <mergeCell ref="AH25:AI25"/>
    <mergeCell ref="AN25:AO25"/>
    <mergeCell ref="F26:G26"/>
    <mergeCell ref="L26:M26"/>
    <mergeCell ref="T26:U26"/>
    <mergeCell ref="Z26:AA26"/>
    <mergeCell ref="AH26:AI26"/>
    <mergeCell ref="AN26:AO26"/>
    <mergeCell ref="F27:G27"/>
    <mergeCell ref="L27:M27"/>
    <mergeCell ref="T27:U27"/>
    <mergeCell ref="Z27:AA27"/>
    <mergeCell ref="AH27:AI27"/>
    <mergeCell ref="AN27:AO27"/>
  </mergeCells>
  <printOptions/>
  <pageMargins left="0.7" right="0.7" top="0.75" bottom="0.75" header="0.3" footer="0.3"/>
  <pageSetup fitToHeight="1" fitToWidth="1" horizontalDpi="600" verticalDpi="600" orientation="landscape" scale="39" r:id="rId1"/>
  <rowBreaks count="1" manualBreakCount="1">
    <brk id="35" max="255" man="1"/>
  </rowBreaks>
  <colBreaks count="1" manualBreakCount="1">
    <brk id="42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U79"/>
  <sheetViews>
    <sheetView zoomScale="75" zoomScaleNormal="75" zoomScalePageLayoutView="0" workbookViewId="0" topLeftCell="A1">
      <selection activeCell="A7" sqref="A7"/>
    </sheetView>
  </sheetViews>
  <sheetFormatPr defaultColWidth="9.140625" defaultRowHeight="15"/>
  <cols>
    <col min="1" max="1" width="3.7109375" style="150" customWidth="1"/>
    <col min="2" max="2" width="3.421875" style="150" customWidth="1"/>
    <col min="3" max="3" width="21.28125" style="150" customWidth="1"/>
    <col min="4" max="5" width="2.28125" style="150" customWidth="1"/>
    <col min="6" max="6" width="18.140625" style="150" customWidth="1"/>
    <col min="7" max="7" width="19.57421875" style="150" customWidth="1"/>
    <col min="8" max="8" width="2.57421875" style="150" customWidth="1"/>
    <col min="9" max="9" width="20.140625" style="150" customWidth="1"/>
    <col min="10" max="11" width="2.28125" style="150" customWidth="1"/>
    <col min="12" max="12" width="18.140625" style="150" customWidth="1"/>
    <col min="13" max="13" width="19.57421875" style="150" customWidth="1"/>
    <col min="14" max="14" width="3.421875" style="150" customWidth="1"/>
    <col min="15" max="15" width="3.7109375" style="150" customWidth="1"/>
    <col min="16" max="16" width="3.421875" style="150" customWidth="1"/>
    <col min="17" max="17" width="21.28125" style="150" customWidth="1"/>
    <col min="18" max="19" width="2.28125" style="150" customWidth="1"/>
    <col min="20" max="20" width="18.140625" style="150" customWidth="1"/>
    <col min="21" max="21" width="19.57421875" style="150" customWidth="1"/>
    <col min="22" max="22" width="2.57421875" style="150" customWidth="1"/>
    <col min="23" max="23" width="20.140625" style="150" customWidth="1"/>
    <col min="24" max="25" width="2.28125" style="150" customWidth="1"/>
    <col min="26" max="26" width="18.140625" style="150" customWidth="1"/>
    <col min="27" max="27" width="19.57421875" style="150" customWidth="1"/>
    <col min="28" max="28" width="3.421875" style="150" customWidth="1"/>
    <col min="29" max="29" width="3.7109375" style="150" customWidth="1"/>
    <col min="30" max="30" width="3.421875" style="150" customWidth="1"/>
    <col min="31" max="31" width="21.28125" style="150" customWidth="1"/>
    <col min="32" max="33" width="2.28125" style="150" customWidth="1"/>
    <col min="34" max="34" width="18.140625" style="150" customWidth="1"/>
    <col min="35" max="35" width="19.57421875" style="150" customWidth="1"/>
    <col min="36" max="36" width="2.57421875" style="150" customWidth="1"/>
    <col min="37" max="37" width="20.140625" style="150" customWidth="1"/>
    <col min="38" max="39" width="2.28125" style="150" customWidth="1"/>
    <col min="40" max="40" width="18.140625" style="150" customWidth="1"/>
    <col min="41" max="41" width="19.57421875" style="150" customWidth="1"/>
    <col min="42" max="42" width="3.421875" style="150" customWidth="1"/>
    <col min="43" max="43" width="9.140625" style="150" customWidth="1"/>
    <col min="44" max="44" width="3.8515625" style="150" customWidth="1"/>
    <col min="45" max="45" width="5.8515625" style="150" customWidth="1"/>
    <col min="46" max="46" width="6.140625" style="150" customWidth="1"/>
    <col min="47" max="47" width="19.57421875" style="150" customWidth="1"/>
    <col min="48" max="57" width="15.7109375" style="150" customWidth="1"/>
    <col min="58" max="59" width="9.140625" style="150" customWidth="1"/>
    <col min="60" max="60" width="3.8515625" style="150" customWidth="1"/>
    <col min="61" max="61" width="5.8515625" style="150" customWidth="1"/>
    <col min="62" max="62" width="19.57421875" style="150" customWidth="1"/>
    <col min="63" max="70" width="15.7109375" style="150" customWidth="1"/>
    <col min="71" max="71" width="20.57421875" style="150" customWidth="1"/>
    <col min="72" max="16384" width="9.140625" style="150" customWidth="1"/>
  </cols>
  <sheetData>
    <row r="1" s="147" customFormat="1" ht="18" customHeight="1" thickBot="1">
      <c r="AQ1" s="149"/>
    </row>
    <row r="2" spans="2:72" s="147" customFormat="1" ht="18" customHeight="1" thickBot="1" thickTop="1">
      <c r="B2" s="8"/>
      <c r="C2" s="86"/>
      <c r="D2" s="84"/>
      <c r="E2" s="86"/>
      <c r="F2" s="86"/>
      <c r="G2" s="86"/>
      <c r="H2" s="87"/>
      <c r="I2" s="9"/>
      <c r="J2" s="9"/>
      <c r="K2" s="9"/>
      <c r="L2" s="9"/>
      <c r="M2" s="9"/>
      <c r="N2" s="88"/>
      <c r="O2" s="152"/>
      <c r="P2" s="8"/>
      <c r="Q2" s="86"/>
      <c r="R2" s="84"/>
      <c r="S2" s="86"/>
      <c r="T2" s="86"/>
      <c r="U2" s="86"/>
      <c r="V2" s="87"/>
      <c r="W2" s="9"/>
      <c r="X2" s="9"/>
      <c r="Y2" s="9"/>
      <c r="Z2" s="9"/>
      <c r="AA2" s="9"/>
      <c r="AB2" s="88"/>
      <c r="AC2" s="152"/>
      <c r="AD2" s="8"/>
      <c r="AE2" s="86"/>
      <c r="AF2" s="84"/>
      <c r="AG2" s="86"/>
      <c r="AH2" s="86"/>
      <c r="AI2" s="86"/>
      <c r="AJ2" s="87"/>
      <c r="AK2" s="9"/>
      <c r="AL2" s="9"/>
      <c r="AM2" s="9"/>
      <c r="AN2" s="9"/>
      <c r="AO2" s="9"/>
      <c r="AP2" s="88"/>
      <c r="AQ2" s="149"/>
      <c r="BH2" s="150"/>
      <c r="BI2" s="150"/>
      <c r="BJ2" s="150"/>
      <c r="BK2" s="150"/>
      <c r="BL2" s="150"/>
      <c r="BM2" s="150"/>
      <c r="BN2" s="150"/>
      <c r="BO2" s="150"/>
      <c r="BP2" s="150"/>
      <c r="BQ2" s="150"/>
      <c r="BR2" s="150"/>
      <c r="BS2" s="150"/>
      <c r="BT2" s="150"/>
    </row>
    <row r="3" spans="1:72" s="147" customFormat="1" ht="18" customHeight="1" thickBot="1">
      <c r="A3" s="147" t="s">
        <v>90</v>
      </c>
      <c r="B3" s="14"/>
      <c r="C3" s="656" t="s">
        <v>107</v>
      </c>
      <c r="D3" s="657"/>
      <c r="E3" s="657"/>
      <c r="F3" s="657"/>
      <c r="G3" s="657"/>
      <c r="H3" s="657"/>
      <c r="I3" s="657"/>
      <c r="J3" s="657"/>
      <c r="K3" s="657"/>
      <c r="L3" s="657"/>
      <c r="M3" s="658"/>
      <c r="N3" s="11"/>
      <c r="O3" s="152" t="s">
        <v>90</v>
      </c>
      <c r="P3" s="14"/>
      <c r="Q3" s="656" t="s">
        <v>108</v>
      </c>
      <c r="R3" s="657"/>
      <c r="S3" s="657"/>
      <c r="T3" s="657"/>
      <c r="U3" s="657"/>
      <c r="V3" s="657"/>
      <c r="W3" s="657"/>
      <c r="X3" s="657"/>
      <c r="Y3" s="657"/>
      <c r="Z3" s="657"/>
      <c r="AA3" s="658"/>
      <c r="AB3" s="11"/>
      <c r="AC3" s="152" t="s">
        <v>90</v>
      </c>
      <c r="AD3" s="14"/>
      <c r="AE3" s="656" t="s">
        <v>109</v>
      </c>
      <c r="AF3" s="657"/>
      <c r="AG3" s="657"/>
      <c r="AH3" s="657"/>
      <c r="AI3" s="657"/>
      <c r="AJ3" s="657"/>
      <c r="AK3" s="657"/>
      <c r="AL3" s="657"/>
      <c r="AM3" s="657"/>
      <c r="AN3" s="657"/>
      <c r="AO3" s="658"/>
      <c r="AP3" s="11"/>
      <c r="AQ3" s="149"/>
      <c r="BH3" s="150"/>
      <c r="BI3" s="150"/>
      <c r="BJ3" s="150"/>
      <c r="BK3" s="150"/>
      <c r="BL3" s="150"/>
      <c r="BM3" s="150"/>
      <c r="BN3" s="150"/>
      <c r="BO3" s="150"/>
      <c r="BP3" s="150"/>
      <c r="BQ3" s="150"/>
      <c r="BR3" s="150"/>
      <c r="BS3" s="150"/>
      <c r="BT3" s="150"/>
    </row>
    <row r="4" spans="2:72" s="147" customFormat="1" ht="9.75" customHeight="1">
      <c r="B4" s="14"/>
      <c r="C4" s="22"/>
      <c r="D4" s="23"/>
      <c r="E4" s="22"/>
      <c r="F4" s="22"/>
      <c r="G4" s="22"/>
      <c r="H4" s="15"/>
      <c r="I4" s="22"/>
      <c r="J4" s="22"/>
      <c r="K4" s="23"/>
      <c r="L4" s="22"/>
      <c r="M4" s="22"/>
      <c r="N4" s="11"/>
      <c r="O4" s="152"/>
      <c r="P4" s="14"/>
      <c r="Q4" s="22"/>
      <c r="R4" s="23"/>
      <c r="S4" s="22"/>
      <c r="T4" s="22"/>
      <c r="U4" s="22"/>
      <c r="V4" s="15"/>
      <c r="W4" s="22"/>
      <c r="X4" s="22"/>
      <c r="Y4" s="23"/>
      <c r="Z4" s="22"/>
      <c r="AA4" s="22"/>
      <c r="AB4" s="11"/>
      <c r="AC4" s="152"/>
      <c r="AD4" s="14"/>
      <c r="AE4" s="22"/>
      <c r="AF4" s="23"/>
      <c r="AG4" s="22"/>
      <c r="AH4" s="22"/>
      <c r="AI4" s="22"/>
      <c r="AJ4" s="15"/>
      <c r="AK4" s="22"/>
      <c r="AL4" s="22"/>
      <c r="AM4" s="23"/>
      <c r="AN4" s="22"/>
      <c r="AO4" s="22"/>
      <c r="AP4" s="11"/>
      <c r="AQ4" s="149"/>
      <c r="BH4" s="150"/>
      <c r="BI4" s="150"/>
      <c r="BJ4" s="150"/>
      <c r="BK4" s="150"/>
      <c r="BL4" s="150"/>
      <c r="BM4" s="150"/>
      <c r="BN4" s="150"/>
      <c r="BO4" s="150"/>
      <c r="BP4" s="150"/>
      <c r="BQ4" s="150"/>
      <c r="BR4" s="150"/>
      <c r="BS4" s="150"/>
      <c r="BT4" s="150"/>
    </row>
    <row r="5" spans="2:72" s="147" customFormat="1" ht="18" customHeight="1">
      <c r="B5" s="14"/>
      <c r="C5" s="659" t="s">
        <v>121</v>
      </c>
      <c r="D5" s="660"/>
      <c r="E5" s="660"/>
      <c r="F5" s="660"/>
      <c r="G5" s="661"/>
      <c r="H5" s="15"/>
      <c r="I5" s="659" t="s">
        <v>158</v>
      </c>
      <c r="J5" s="660"/>
      <c r="K5" s="660"/>
      <c r="L5" s="660"/>
      <c r="M5" s="661"/>
      <c r="N5" s="11"/>
      <c r="O5" s="152"/>
      <c r="P5" s="14"/>
      <c r="Q5" s="659" t="s">
        <v>121</v>
      </c>
      <c r="R5" s="660"/>
      <c r="S5" s="660"/>
      <c r="T5" s="660"/>
      <c r="U5" s="661"/>
      <c r="V5" s="15"/>
      <c r="W5" s="659" t="s">
        <v>122</v>
      </c>
      <c r="X5" s="660"/>
      <c r="Y5" s="660"/>
      <c r="Z5" s="660"/>
      <c r="AA5" s="661"/>
      <c r="AB5" s="11"/>
      <c r="AC5" s="152"/>
      <c r="AD5" s="14"/>
      <c r="AE5" s="659" t="s">
        <v>132</v>
      </c>
      <c r="AF5" s="660"/>
      <c r="AG5" s="660"/>
      <c r="AH5" s="660"/>
      <c r="AI5" s="662"/>
      <c r="AJ5" s="15"/>
      <c r="AK5" s="659" t="s">
        <v>135</v>
      </c>
      <c r="AL5" s="660"/>
      <c r="AM5" s="660"/>
      <c r="AN5" s="660"/>
      <c r="AO5" s="661"/>
      <c r="AP5" s="11"/>
      <c r="AQ5" s="149"/>
      <c r="BH5" s="150"/>
      <c r="BI5" s="150"/>
      <c r="BJ5" s="150"/>
      <c r="BK5" s="150"/>
      <c r="BL5" s="150"/>
      <c r="BM5" s="150"/>
      <c r="BN5" s="150"/>
      <c r="BO5" s="150"/>
      <c r="BP5" s="150"/>
      <c r="BQ5" s="150"/>
      <c r="BR5" s="150"/>
      <c r="BS5" s="150"/>
      <c r="BT5" s="150"/>
    </row>
    <row r="6" spans="2:72" s="147" customFormat="1" ht="18" customHeight="1">
      <c r="B6" s="14"/>
      <c r="C6" s="663" t="s">
        <v>41</v>
      </c>
      <c r="D6" s="664"/>
      <c r="E6" s="664"/>
      <c r="F6" s="135"/>
      <c r="G6" s="264">
        <f>AVERAGE(F31:F32)</f>
        <v>328.75</v>
      </c>
      <c r="H6" s="15"/>
      <c r="I6" s="663" t="s">
        <v>41</v>
      </c>
      <c r="J6" s="664"/>
      <c r="K6" s="664"/>
      <c r="L6" s="135"/>
      <c r="M6" s="264">
        <f>AVERAGE(L31:L32)</f>
        <v>286.921</v>
      </c>
      <c r="N6" s="11"/>
      <c r="O6" s="152"/>
      <c r="P6" s="14"/>
      <c r="Q6" s="663" t="s">
        <v>41</v>
      </c>
      <c r="R6" s="664"/>
      <c r="S6" s="664"/>
      <c r="T6" s="135"/>
      <c r="U6" s="264">
        <f>AVERAGE(T31:T32)</f>
        <v>343.5</v>
      </c>
      <c r="V6" s="15"/>
      <c r="W6" s="663" t="s">
        <v>41</v>
      </c>
      <c r="X6" s="664"/>
      <c r="Y6" s="664"/>
      <c r="Z6" s="135"/>
      <c r="AA6" s="264">
        <f>AVERAGE(Z31:Z32)</f>
        <v>572.2</v>
      </c>
      <c r="AB6" s="11"/>
      <c r="AC6" s="152"/>
      <c r="AD6" s="14"/>
      <c r="AE6" s="663" t="s">
        <v>41</v>
      </c>
      <c r="AF6" s="664"/>
      <c r="AG6" s="664"/>
      <c r="AH6" s="135"/>
      <c r="AI6" s="264">
        <f>AVERAGE(AH31:AH32)</f>
        <v>672.25</v>
      </c>
      <c r="AJ6" s="15"/>
      <c r="AK6" s="663" t="s">
        <v>41</v>
      </c>
      <c r="AL6" s="664"/>
      <c r="AM6" s="664"/>
      <c r="AN6" s="135"/>
      <c r="AO6" s="264">
        <f>AVERAGE(AN31:AN32)</f>
        <v>859.121</v>
      </c>
      <c r="AP6" s="11"/>
      <c r="AQ6" s="149"/>
      <c r="BH6" s="150"/>
      <c r="BI6" s="150"/>
      <c r="BJ6" s="150"/>
      <c r="BK6" s="150"/>
      <c r="BL6" s="150"/>
      <c r="BM6" s="150"/>
      <c r="BN6" s="150"/>
      <c r="BO6" s="150"/>
      <c r="BP6" s="150"/>
      <c r="BQ6" s="150"/>
      <c r="BR6" s="150"/>
      <c r="BS6" s="150"/>
      <c r="BT6" s="150"/>
    </row>
    <row r="7" spans="2:72" s="147" customFormat="1" ht="18" customHeight="1">
      <c r="B7" s="14"/>
      <c r="C7" s="665"/>
      <c r="D7" s="666"/>
      <c r="E7" s="666"/>
      <c r="F7" s="136"/>
      <c r="G7" s="265">
        <f>G6/(AVERAGE('Calculations production'!$F$11,'Calculations production'!$L$11))*2000</f>
        <v>2.025635456476565</v>
      </c>
      <c r="H7" s="15"/>
      <c r="I7" s="665"/>
      <c r="J7" s="666"/>
      <c r="K7" s="666"/>
      <c r="L7" s="136"/>
      <c r="M7" s="265">
        <f>M6/(AVERAGE('Calculations production'!$F$11,'Calculations production'!$L$11))*2000</f>
        <v>1.7679006868675664</v>
      </c>
      <c r="N7" s="11"/>
      <c r="O7" s="152"/>
      <c r="P7" s="14"/>
      <c r="Q7" s="665"/>
      <c r="R7" s="666"/>
      <c r="S7" s="666"/>
      <c r="T7" s="136"/>
      <c r="U7" s="265">
        <f>U6/(AVERAGE('Calculations production'!$T$11,'Calculations production'!$Z$11))*2000</f>
        <v>1.7983775336312304</v>
      </c>
      <c r="V7" s="15"/>
      <c r="W7" s="665"/>
      <c r="X7" s="666"/>
      <c r="Y7" s="666"/>
      <c r="Z7" s="136"/>
      <c r="AA7" s="265">
        <f>AA6/(AVERAGE('Calculations production'!$T$11,'Calculations production'!$Z$11))*2000</f>
        <v>2.995725253984833</v>
      </c>
      <c r="AB7" s="11"/>
      <c r="AC7" s="152"/>
      <c r="AD7" s="14"/>
      <c r="AE7" s="665"/>
      <c r="AF7" s="666"/>
      <c r="AG7" s="666"/>
      <c r="AH7" s="136"/>
      <c r="AI7" s="265"/>
      <c r="AJ7" s="15"/>
      <c r="AK7" s="665"/>
      <c r="AL7" s="666"/>
      <c r="AM7" s="666"/>
      <c r="AN7" s="136"/>
      <c r="AO7" s="265"/>
      <c r="AP7" s="11"/>
      <c r="AQ7" s="149"/>
      <c r="BH7" s="150"/>
      <c r="BI7" s="150"/>
      <c r="BJ7" s="150"/>
      <c r="BK7" s="150"/>
      <c r="BL7" s="150"/>
      <c r="BM7" s="150"/>
      <c r="BN7" s="150"/>
      <c r="BO7" s="150"/>
      <c r="BP7" s="150"/>
      <c r="BQ7" s="150"/>
      <c r="BR7" s="150"/>
      <c r="BS7" s="150"/>
      <c r="BT7" s="150"/>
    </row>
    <row r="8" spans="2:72" s="147" customFormat="1" ht="9.75" customHeight="1">
      <c r="B8" s="14"/>
      <c r="C8" s="22"/>
      <c r="D8" s="23"/>
      <c r="E8" s="22"/>
      <c r="F8" s="22"/>
      <c r="G8" s="22"/>
      <c r="H8" s="15"/>
      <c r="I8" s="22"/>
      <c r="J8" s="22"/>
      <c r="K8" s="23"/>
      <c r="L8" s="22"/>
      <c r="M8" s="22"/>
      <c r="N8" s="11"/>
      <c r="O8" s="152"/>
      <c r="P8" s="14"/>
      <c r="Q8" s="22"/>
      <c r="R8" s="23"/>
      <c r="S8" s="22"/>
      <c r="T8" s="22"/>
      <c r="U8" s="22"/>
      <c r="V8" s="15"/>
      <c r="W8" s="22"/>
      <c r="X8" s="22"/>
      <c r="Y8" s="23"/>
      <c r="Z8" s="22"/>
      <c r="AA8" s="22"/>
      <c r="AB8" s="11"/>
      <c r="AC8" s="152"/>
      <c r="AD8" s="14"/>
      <c r="AE8" s="22"/>
      <c r="AF8" s="23"/>
      <c r="AG8" s="22"/>
      <c r="AH8" s="22"/>
      <c r="AI8" s="22"/>
      <c r="AJ8" s="15"/>
      <c r="AK8" s="22"/>
      <c r="AL8" s="22"/>
      <c r="AM8" s="23"/>
      <c r="AN8" s="22"/>
      <c r="AO8" s="22"/>
      <c r="AP8" s="11"/>
      <c r="AQ8" s="149"/>
      <c r="BH8" s="150"/>
      <c r="BI8" s="150"/>
      <c r="BJ8" s="150"/>
      <c r="BK8" s="150"/>
      <c r="BL8" s="150"/>
      <c r="BM8" s="150"/>
      <c r="BN8" s="150"/>
      <c r="BO8" s="150"/>
      <c r="BP8" s="150"/>
      <c r="BQ8" s="150"/>
      <c r="BR8" s="150"/>
      <c r="BS8" s="150"/>
      <c r="BT8" s="150"/>
    </row>
    <row r="9" spans="2:72" s="147" customFormat="1" ht="18" customHeight="1">
      <c r="B9" s="14"/>
      <c r="C9" s="659" t="s">
        <v>123</v>
      </c>
      <c r="D9" s="660"/>
      <c r="E9" s="660"/>
      <c r="F9" s="660"/>
      <c r="G9" s="661"/>
      <c r="H9" s="15"/>
      <c r="I9" s="659" t="s">
        <v>124</v>
      </c>
      <c r="J9" s="660"/>
      <c r="K9" s="660"/>
      <c r="L9" s="660"/>
      <c r="M9" s="661"/>
      <c r="N9" s="11"/>
      <c r="O9" s="152"/>
      <c r="P9" s="14"/>
      <c r="Q9" s="659" t="s">
        <v>123</v>
      </c>
      <c r="R9" s="660"/>
      <c r="S9" s="660"/>
      <c r="T9" s="660"/>
      <c r="U9" s="661"/>
      <c r="V9" s="15"/>
      <c r="W9" s="659" t="s">
        <v>124</v>
      </c>
      <c r="X9" s="660"/>
      <c r="Y9" s="660"/>
      <c r="Z9" s="660"/>
      <c r="AA9" s="661"/>
      <c r="AB9" s="11"/>
      <c r="AC9" s="152"/>
      <c r="AD9" s="14"/>
      <c r="AE9" s="659" t="s">
        <v>133</v>
      </c>
      <c r="AF9" s="660"/>
      <c r="AG9" s="660"/>
      <c r="AH9" s="660"/>
      <c r="AI9" s="661"/>
      <c r="AJ9" s="15"/>
      <c r="AK9" s="659" t="s">
        <v>136</v>
      </c>
      <c r="AL9" s="660"/>
      <c r="AM9" s="660"/>
      <c r="AN9" s="660"/>
      <c r="AO9" s="661"/>
      <c r="AP9" s="11"/>
      <c r="AQ9" s="149"/>
      <c r="BH9" s="150"/>
      <c r="BI9" s="150"/>
      <c r="BJ9" s="150"/>
      <c r="BK9" s="150"/>
      <c r="BL9" s="150"/>
      <c r="BM9" s="150"/>
      <c r="BN9" s="150"/>
      <c r="BO9" s="150"/>
      <c r="BP9" s="150"/>
      <c r="BQ9" s="150"/>
      <c r="BR9" s="150"/>
      <c r="BS9" s="150"/>
      <c r="BT9" s="150"/>
    </row>
    <row r="10" spans="2:72" s="147" customFormat="1" ht="18" customHeight="1">
      <c r="B10" s="14"/>
      <c r="C10" s="663" t="s">
        <v>41</v>
      </c>
      <c r="D10" s="664"/>
      <c r="E10" s="664"/>
      <c r="F10" s="135"/>
      <c r="G10" s="269">
        <f>AVERAGE(F41:F42)</f>
        <v>0.73925</v>
      </c>
      <c r="H10" s="15"/>
      <c r="I10" s="663" t="s">
        <v>41</v>
      </c>
      <c r="J10" s="664"/>
      <c r="K10" s="664"/>
      <c r="L10" s="135"/>
      <c r="M10" s="269">
        <f>AVERAGE(L41:L42)</f>
        <v>7.81287</v>
      </c>
      <c r="N10" s="11"/>
      <c r="O10" s="152"/>
      <c r="P10" s="14"/>
      <c r="Q10" s="663" t="s">
        <v>41</v>
      </c>
      <c r="R10" s="664"/>
      <c r="S10" s="664"/>
      <c r="T10" s="135"/>
      <c r="U10" s="269">
        <f>AVERAGE(T41:T42)</f>
        <v>5.4905</v>
      </c>
      <c r="V10" s="15"/>
      <c r="W10" s="663" t="s">
        <v>41</v>
      </c>
      <c r="X10" s="664"/>
      <c r="Y10" s="664"/>
      <c r="Z10" s="135"/>
      <c r="AA10" s="264">
        <f>AVERAGE(Z41:Z42)</f>
        <v>8.4</v>
      </c>
      <c r="AB10" s="11"/>
      <c r="AC10" s="152"/>
      <c r="AD10" s="14"/>
      <c r="AE10" s="663" t="s">
        <v>41</v>
      </c>
      <c r="AF10" s="664"/>
      <c r="AG10" s="664"/>
      <c r="AH10" s="135"/>
      <c r="AI10" s="269">
        <f>AVERAGE(AH41:AH42)</f>
        <v>6.22975</v>
      </c>
      <c r="AJ10" s="15"/>
      <c r="AK10" s="663" t="s">
        <v>41</v>
      </c>
      <c r="AL10" s="664"/>
      <c r="AM10" s="664"/>
      <c r="AN10" s="135"/>
      <c r="AO10" s="264">
        <f>AVERAGE(AN41:AN42)</f>
        <v>16.212870000000002</v>
      </c>
      <c r="AP10" s="11"/>
      <c r="AQ10" s="149"/>
      <c r="BH10" s="150"/>
      <c r="BI10" s="150"/>
      <c r="BJ10" s="150"/>
      <c r="BK10" s="150"/>
      <c r="BL10" s="150"/>
      <c r="BM10" s="150"/>
      <c r="BN10" s="150"/>
      <c r="BO10" s="150"/>
      <c r="BP10" s="150"/>
      <c r="BQ10" s="150"/>
      <c r="BR10" s="150"/>
      <c r="BS10" s="150"/>
      <c r="BT10" s="150"/>
    </row>
    <row r="11" spans="2:72" s="147" customFormat="1" ht="18" customHeight="1">
      <c r="B11" s="14"/>
      <c r="C11" s="665"/>
      <c r="D11" s="666"/>
      <c r="E11" s="666"/>
      <c r="F11" s="136"/>
      <c r="G11" s="270">
        <f>G10/(AVERAGE('Calculations production'!$F$11,'Calculations production'!$L$11))*2000</f>
        <v>0.004554984064487607</v>
      </c>
      <c r="H11" s="15"/>
      <c r="I11" s="665"/>
      <c r="J11" s="666"/>
      <c r="K11" s="666"/>
      <c r="L11" s="136"/>
      <c r="M11" s="265">
        <f>M10/(AVERAGE('Calculations production'!$F$11,'Calculations production'!$L$11))*2000</f>
        <v>0.04814000452879714</v>
      </c>
      <c r="N11" s="11"/>
      <c r="O11" s="152"/>
      <c r="P11" s="14"/>
      <c r="Q11" s="665"/>
      <c r="R11" s="666"/>
      <c r="S11" s="666"/>
      <c r="T11" s="136"/>
      <c r="U11" s="265">
        <f>U10/(AVERAGE('Calculations production'!$T$11,'Calculations production'!$Z$11))*2000</f>
        <v>0.028745245555756246</v>
      </c>
      <c r="V11" s="15"/>
      <c r="W11" s="665"/>
      <c r="X11" s="666"/>
      <c r="Y11" s="666"/>
      <c r="Z11" s="136"/>
      <c r="AA11" s="265">
        <f>AA10/(AVERAGE('Calculations production'!$T$11,'Calculations production'!$Z$11))*2000</f>
        <v>0.04397779121543621</v>
      </c>
      <c r="AB11" s="11"/>
      <c r="AC11" s="152"/>
      <c r="AD11" s="14"/>
      <c r="AE11" s="665"/>
      <c r="AF11" s="666"/>
      <c r="AG11" s="666"/>
      <c r="AH11" s="136"/>
      <c r="AI11" s="265"/>
      <c r="AJ11" s="15"/>
      <c r="AK11" s="665"/>
      <c r="AL11" s="666"/>
      <c r="AM11" s="666"/>
      <c r="AN11" s="136"/>
      <c r="AO11" s="265"/>
      <c r="AP11" s="11"/>
      <c r="AQ11" s="149"/>
      <c r="BH11" s="150"/>
      <c r="BI11" s="150"/>
      <c r="BJ11" s="150"/>
      <c r="BK11" s="150"/>
      <c r="BL11" s="150"/>
      <c r="BM11" s="150"/>
      <c r="BN11" s="150"/>
      <c r="BO11" s="150"/>
      <c r="BP11" s="150"/>
      <c r="BQ11" s="150"/>
      <c r="BR11" s="150"/>
      <c r="BS11" s="150"/>
      <c r="BT11" s="150"/>
    </row>
    <row r="12" spans="2:72" s="147" customFormat="1" ht="9.75" customHeight="1">
      <c r="B12" s="14"/>
      <c r="C12" s="22"/>
      <c r="D12" s="23"/>
      <c r="E12" s="22"/>
      <c r="F12" s="22"/>
      <c r="G12" s="22"/>
      <c r="H12" s="15"/>
      <c r="I12" s="22"/>
      <c r="J12" s="22"/>
      <c r="K12" s="23"/>
      <c r="L12" s="22"/>
      <c r="M12" s="22"/>
      <c r="N12" s="11"/>
      <c r="O12" s="152"/>
      <c r="P12" s="14"/>
      <c r="Q12" s="22"/>
      <c r="R12" s="23"/>
      <c r="S12" s="22"/>
      <c r="T12" s="22"/>
      <c r="U12" s="22"/>
      <c r="V12" s="15"/>
      <c r="W12" s="22"/>
      <c r="X12" s="22"/>
      <c r="Y12" s="23"/>
      <c r="Z12" s="22"/>
      <c r="AA12" s="22"/>
      <c r="AB12" s="11"/>
      <c r="AC12" s="152"/>
      <c r="AD12" s="14"/>
      <c r="AE12" s="22"/>
      <c r="AF12" s="23"/>
      <c r="AG12" s="22"/>
      <c r="AH12" s="22"/>
      <c r="AI12" s="22"/>
      <c r="AJ12" s="15"/>
      <c r="AK12" s="22"/>
      <c r="AL12" s="22"/>
      <c r="AM12" s="23"/>
      <c r="AN12" s="22"/>
      <c r="AO12" s="22"/>
      <c r="AP12" s="11"/>
      <c r="AQ12" s="149"/>
      <c r="BH12" s="150"/>
      <c r="BI12" s="150"/>
      <c r="BJ12" s="150"/>
      <c r="BK12" s="150"/>
      <c r="BL12" s="150"/>
      <c r="BM12" s="150"/>
      <c r="BN12" s="150"/>
      <c r="BO12" s="150"/>
      <c r="BP12" s="150"/>
      <c r="BQ12" s="150"/>
      <c r="BR12" s="150"/>
      <c r="BS12" s="150"/>
      <c r="BT12" s="150"/>
    </row>
    <row r="13" spans="2:72" s="147" customFormat="1" ht="18" customHeight="1">
      <c r="B13" s="14"/>
      <c r="C13" s="659" t="s">
        <v>125</v>
      </c>
      <c r="D13" s="660"/>
      <c r="E13" s="660"/>
      <c r="F13" s="660"/>
      <c r="G13" s="661"/>
      <c r="H13" s="15"/>
      <c r="I13" s="659" t="s">
        <v>126</v>
      </c>
      <c r="J13" s="660"/>
      <c r="K13" s="660"/>
      <c r="L13" s="660"/>
      <c r="M13" s="661"/>
      <c r="N13" s="11"/>
      <c r="O13" s="152"/>
      <c r="P13" s="14"/>
      <c r="Q13" s="659" t="s">
        <v>125</v>
      </c>
      <c r="R13" s="660"/>
      <c r="S13" s="660"/>
      <c r="T13" s="660"/>
      <c r="U13" s="661"/>
      <c r="V13" s="15"/>
      <c r="W13" s="667" t="s">
        <v>126</v>
      </c>
      <c r="X13" s="668"/>
      <c r="Y13" s="668"/>
      <c r="Z13" s="668"/>
      <c r="AA13" s="669"/>
      <c r="AB13" s="11"/>
      <c r="AC13" s="152"/>
      <c r="AD13" s="14"/>
      <c r="AE13" s="659" t="s">
        <v>134</v>
      </c>
      <c r="AF13" s="660"/>
      <c r="AG13" s="660"/>
      <c r="AH13" s="660"/>
      <c r="AI13" s="661"/>
      <c r="AJ13" s="15"/>
      <c r="AK13" s="667" t="s">
        <v>137</v>
      </c>
      <c r="AL13" s="668"/>
      <c r="AM13" s="668"/>
      <c r="AN13" s="668"/>
      <c r="AO13" s="669"/>
      <c r="AP13" s="11"/>
      <c r="AQ13" s="149"/>
      <c r="BH13" s="150"/>
      <c r="BI13" s="150"/>
      <c r="BJ13" s="150"/>
      <c r="BK13" s="150"/>
      <c r="BL13" s="150"/>
      <c r="BM13" s="150"/>
      <c r="BN13" s="150"/>
      <c r="BO13" s="150"/>
      <c r="BP13" s="150"/>
      <c r="BQ13" s="150"/>
      <c r="BR13" s="150"/>
      <c r="BS13" s="150"/>
      <c r="BT13" s="150"/>
    </row>
    <row r="14" spans="2:72" s="147" customFormat="1" ht="18" customHeight="1">
      <c r="B14" s="14"/>
      <c r="C14" s="670" t="s">
        <v>57</v>
      </c>
      <c r="D14" s="671"/>
      <c r="E14" s="671"/>
      <c r="F14" s="135"/>
      <c r="G14" s="266">
        <f>AVERAGE(F51:F52)</f>
        <v>5.684535</v>
      </c>
      <c r="H14" s="15"/>
      <c r="I14" s="663" t="s">
        <v>41</v>
      </c>
      <c r="J14" s="664"/>
      <c r="K14" s="664"/>
      <c r="L14" s="135"/>
      <c r="M14" s="328">
        <f>AVERAGE(F62:F63)</f>
        <v>329968.65</v>
      </c>
      <c r="N14" s="11"/>
      <c r="O14" s="152"/>
      <c r="P14" s="14"/>
      <c r="Q14" s="670" t="s">
        <v>57</v>
      </c>
      <c r="R14" s="671"/>
      <c r="S14" s="671"/>
      <c r="T14" s="135"/>
      <c r="U14" s="266">
        <f>AVERAGE(T51:T52)</f>
        <v>6.4898050000000005</v>
      </c>
      <c r="V14" s="15"/>
      <c r="W14" s="674" t="s">
        <v>41</v>
      </c>
      <c r="X14" s="675"/>
      <c r="Y14" s="675"/>
      <c r="Z14" s="346"/>
      <c r="AA14" s="347">
        <f>AVERAGE(T62:T63)</f>
        <v>338960.05000000005</v>
      </c>
      <c r="AB14" s="11"/>
      <c r="AC14" s="152"/>
      <c r="AD14" s="14"/>
      <c r="AE14" s="670" t="s">
        <v>57</v>
      </c>
      <c r="AF14" s="671"/>
      <c r="AG14" s="671"/>
      <c r="AH14" s="135"/>
      <c r="AI14" s="266">
        <f>AVERAGE(AH51:AH52)</f>
        <v>12.17434</v>
      </c>
      <c r="AJ14" s="15"/>
      <c r="AK14" s="674" t="s">
        <v>41</v>
      </c>
      <c r="AL14" s="675"/>
      <c r="AM14" s="675"/>
      <c r="AN14" s="346"/>
      <c r="AO14" s="347">
        <f>AVERAGE(AI62:AI63)</f>
        <v>678898.7755000001</v>
      </c>
      <c r="AP14" s="11"/>
      <c r="AQ14" s="149"/>
      <c r="BH14" s="150"/>
      <c r="BI14" s="150"/>
      <c r="BJ14" s="150"/>
      <c r="BK14" s="150"/>
      <c r="BL14" s="150"/>
      <c r="BM14" s="150"/>
      <c r="BN14" s="150"/>
      <c r="BO14" s="150"/>
      <c r="BP14" s="150"/>
      <c r="BQ14" s="150"/>
      <c r="BR14" s="150"/>
      <c r="BS14" s="150"/>
      <c r="BT14" s="150"/>
    </row>
    <row r="15" spans="2:72" s="147" customFormat="1" ht="18" customHeight="1">
      <c r="B15" s="14"/>
      <c r="C15" s="672"/>
      <c r="D15" s="673"/>
      <c r="E15" s="673"/>
      <c r="F15" s="136"/>
      <c r="G15" s="265">
        <f>G14/(AVERAGE('Calculations production'!$F$11,'Calculations production'!$L$11))*2000</f>
        <v>0.03502599437135212</v>
      </c>
      <c r="H15" s="15"/>
      <c r="I15" s="665"/>
      <c r="J15" s="666"/>
      <c r="K15" s="666"/>
      <c r="L15" s="136"/>
      <c r="M15" s="267">
        <f>M14/(AVERAGE('Calculations production'!$F$11,'Calculations production'!$L$11))*2000</f>
        <v>2033.144325370969</v>
      </c>
      <c r="N15" s="11"/>
      <c r="O15" s="152"/>
      <c r="P15" s="14"/>
      <c r="Q15" s="672"/>
      <c r="R15" s="673"/>
      <c r="S15" s="673"/>
      <c r="T15" s="136"/>
      <c r="U15" s="265">
        <f>U14/(AVERAGE('Calculations production'!$T$11,'Calculations production'!$Z$11))*2000</f>
        <v>0.03397705825224928</v>
      </c>
      <c r="V15" s="15"/>
      <c r="W15" s="676"/>
      <c r="X15" s="677"/>
      <c r="Y15" s="677"/>
      <c r="Z15" s="348"/>
      <c r="AA15" s="349">
        <f>AA14/(AVERAGE('Calculations production'!$T$11,'Calculations production'!$Z$11))*2000</f>
        <v>1774.6088463421213</v>
      </c>
      <c r="AB15" s="11"/>
      <c r="AC15" s="152"/>
      <c r="AD15" s="14"/>
      <c r="AE15" s="672"/>
      <c r="AF15" s="673"/>
      <c r="AG15" s="673"/>
      <c r="AH15" s="136"/>
      <c r="AI15" s="265"/>
      <c r="AJ15" s="15"/>
      <c r="AK15" s="676"/>
      <c r="AL15" s="677"/>
      <c r="AM15" s="677"/>
      <c r="AN15" s="348"/>
      <c r="AO15" s="349"/>
      <c r="AP15" s="11"/>
      <c r="AQ15" s="149"/>
      <c r="BH15" s="150"/>
      <c r="BI15" s="150"/>
      <c r="BJ15" s="150"/>
      <c r="BK15" s="150"/>
      <c r="BL15" s="150"/>
      <c r="BM15" s="150"/>
      <c r="BN15" s="150"/>
      <c r="BO15" s="150"/>
      <c r="BP15" s="150"/>
      <c r="BQ15" s="150"/>
      <c r="BR15" s="150"/>
      <c r="BS15" s="150"/>
      <c r="BT15" s="150"/>
    </row>
    <row r="16" spans="2:72" s="147" customFormat="1" ht="18" customHeight="1">
      <c r="B16" s="14"/>
      <c r="C16" s="670" t="s">
        <v>58</v>
      </c>
      <c r="D16" s="671"/>
      <c r="E16" s="671"/>
      <c r="F16" s="135"/>
      <c r="G16" s="266">
        <f>G14*0.84+G14*0.132</f>
        <v>5.52536802</v>
      </c>
      <c r="H16" s="15"/>
      <c r="I16" s="22"/>
      <c r="J16" s="22"/>
      <c r="K16" s="23"/>
      <c r="L16" s="22"/>
      <c r="M16" s="22"/>
      <c r="N16" s="11"/>
      <c r="O16" s="152"/>
      <c r="P16" s="14"/>
      <c r="Q16" s="670" t="s">
        <v>58</v>
      </c>
      <c r="R16" s="671"/>
      <c r="S16" s="671"/>
      <c r="T16" s="135"/>
      <c r="U16" s="266">
        <f>U14*0.84+U14*0.132</f>
        <v>6.30809046</v>
      </c>
      <c r="V16" s="15"/>
      <c r="W16" s="350"/>
      <c r="X16" s="350"/>
      <c r="Y16" s="351"/>
      <c r="Z16" s="350"/>
      <c r="AA16" s="350"/>
      <c r="AB16" s="11"/>
      <c r="AC16" s="152"/>
      <c r="AD16" s="14"/>
      <c r="AE16" s="670" t="s">
        <v>58</v>
      </c>
      <c r="AF16" s="671"/>
      <c r="AG16" s="671"/>
      <c r="AH16" s="135"/>
      <c r="AI16" s="266">
        <f>AI14*0.84+AI14*0.132</f>
        <v>11.833458480000001</v>
      </c>
      <c r="AJ16" s="15"/>
      <c r="AK16" s="350"/>
      <c r="AL16" s="350"/>
      <c r="AM16" s="351"/>
      <c r="AN16" s="350"/>
      <c r="AO16" s="350"/>
      <c r="AP16" s="11"/>
      <c r="AQ16" s="149"/>
      <c r="BH16" s="150"/>
      <c r="BI16" s="150"/>
      <c r="BJ16" s="150"/>
      <c r="BK16" s="150"/>
      <c r="BL16" s="150"/>
      <c r="BM16" s="150"/>
      <c r="BN16" s="150"/>
      <c r="BO16" s="150"/>
      <c r="BP16" s="150"/>
      <c r="BQ16" s="150"/>
      <c r="BR16" s="150"/>
      <c r="BS16" s="150"/>
      <c r="BT16" s="150"/>
    </row>
    <row r="17" spans="2:72" s="147" customFormat="1" ht="18" customHeight="1">
      <c r="B17" s="14"/>
      <c r="C17" s="672"/>
      <c r="D17" s="673"/>
      <c r="E17" s="673"/>
      <c r="F17" s="136"/>
      <c r="G17" s="265">
        <f>G16/(AVERAGE('Calculations production'!$F$11,'Calculations production'!$L$11))*2000</f>
        <v>0.03404526652895427</v>
      </c>
      <c r="H17" s="15"/>
      <c r="I17" s="659" t="s">
        <v>127</v>
      </c>
      <c r="J17" s="660"/>
      <c r="K17" s="660"/>
      <c r="L17" s="660"/>
      <c r="M17" s="661"/>
      <c r="N17" s="11"/>
      <c r="O17" s="152"/>
      <c r="P17" s="14"/>
      <c r="Q17" s="672"/>
      <c r="R17" s="673"/>
      <c r="S17" s="673"/>
      <c r="T17" s="136"/>
      <c r="U17" s="265">
        <f>U16/(AVERAGE('Calculations production'!$T$11,'Calculations production'!$Z$11))*2000</f>
        <v>0.0330257006211863</v>
      </c>
      <c r="V17" s="15"/>
      <c r="W17" s="667" t="s">
        <v>127</v>
      </c>
      <c r="X17" s="668"/>
      <c r="Y17" s="668"/>
      <c r="Z17" s="668"/>
      <c r="AA17" s="669"/>
      <c r="AB17" s="11"/>
      <c r="AC17" s="152"/>
      <c r="AD17" s="14"/>
      <c r="AE17" s="672"/>
      <c r="AF17" s="673"/>
      <c r="AG17" s="673"/>
      <c r="AH17" s="136"/>
      <c r="AI17" s="265"/>
      <c r="AJ17" s="15"/>
      <c r="AK17" s="667" t="s">
        <v>138</v>
      </c>
      <c r="AL17" s="668"/>
      <c r="AM17" s="668"/>
      <c r="AN17" s="668"/>
      <c r="AO17" s="669"/>
      <c r="AP17" s="11"/>
      <c r="AQ17" s="149"/>
      <c r="BH17" s="150"/>
      <c r="BI17" s="150"/>
      <c r="BJ17" s="150"/>
      <c r="BK17" s="150"/>
      <c r="BL17" s="150"/>
      <c r="BM17" s="150"/>
      <c r="BN17" s="150"/>
      <c r="BO17" s="150"/>
      <c r="BP17" s="150"/>
      <c r="BQ17" s="150"/>
      <c r="BR17" s="150"/>
      <c r="BS17" s="150"/>
      <c r="BT17" s="150"/>
    </row>
    <row r="18" spans="2:72" s="147" customFormat="1" ht="18" customHeight="1">
      <c r="B18" s="14"/>
      <c r="C18" s="670" t="s">
        <v>59</v>
      </c>
      <c r="D18" s="671"/>
      <c r="E18" s="671"/>
      <c r="F18" s="135"/>
      <c r="G18" s="266">
        <f>G14*0.45+G14*0.132</f>
        <v>3.3083993700000005</v>
      </c>
      <c r="H18" s="15"/>
      <c r="I18" s="663" t="s">
        <v>41</v>
      </c>
      <c r="J18" s="664"/>
      <c r="K18" s="664"/>
      <c r="L18" s="135"/>
      <c r="M18" s="329">
        <f>AVERAGE(F70:F71)</f>
        <v>10.874380000000002</v>
      </c>
      <c r="N18" s="11"/>
      <c r="O18" s="152"/>
      <c r="P18" s="14"/>
      <c r="Q18" s="670" t="s">
        <v>59</v>
      </c>
      <c r="R18" s="671"/>
      <c r="S18" s="671"/>
      <c r="T18" s="135"/>
      <c r="U18" s="266">
        <f>U14*0.45+U14*0.132</f>
        <v>3.7770665100000005</v>
      </c>
      <c r="V18" s="15"/>
      <c r="W18" s="674" t="s">
        <v>41</v>
      </c>
      <c r="X18" s="675"/>
      <c r="Y18" s="675"/>
      <c r="Z18" s="346"/>
      <c r="AA18" s="352">
        <f>AVERAGE(T70:T71)</f>
        <v>13.36654</v>
      </c>
      <c r="AB18" s="11"/>
      <c r="AC18" s="152"/>
      <c r="AD18" s="14"/>
      <c r="AE18" s="670" t="s">
        <v>59</v>
      </c>
      <c r="AF18" s="671"/>
      <c r="AG18" s="671"/>
      <c r="AH18" s="135"/>
      <c r="AI18" s="266">
        <f>AI14*0.45+AI14*0.132</f>
        <v>7.085465880000001</v>
      </c>
      <c r="AJ18" s="15"/>
      <c r="AK18" s="674" t="s">
        <v>41</v>
      </c>
      <c r="AL18" s="675"/>
      <c r="AM18" s="675"/>
      <c r="AN18" s="346"/>
      <c r="AO18" s="352">
        <f>AVERAGE(AH70:AH71)</f>
        <v>39.14702</v>
      </c>
      <c r="AP18" s="11"/>
      <c r="AQ18" s="149"/>
      <c r="BH18" s="150"/>
      <c r="BI18" s="150"/>
      <c r="BJ18" s="150"/>
      <c r="BK18" s="150"/>
      <c r="BL18" s="150"/>
      <c r="BM18" s="150"/>
      <c r="BN18" s="150"/>
      <c r="BO18" s="150"/>
      <c r="BP18" s="150"/>
      <c r="BQ18" s="150"/>
      <c r="BR18" s="150"/>
      <c r="BS18" s="150"/>
      <c r="BT18" s="150"/>
    </row>
    <row r="19" spans="2:72" s="147" customFormat="1" ht="18" customHeight="1">
      <c r="B19" s="14"/>
      <c r="C19" s="672"/>
      <c r="D19" s="673"/>
      <c r="E19" s="673"/>
      <c r="F19" s="136"/>
      <c r="G19" s="265">
        <f>G18/(AVERAGE('Calculations production'!$F$11,'Calculations production'!$L$11))*2000</f>
        <v>0.020385128724126938</v>
      </c>
      <c r="H19" s="15"/>
      <c r="I19" s="665"/>
      <c r="J19" s="666"/>
      <c r="K19" s="666"/>
      <c r="L19" s="136"/>
      <c r="M19" s="268">
        <f>M18/(AVERAGE('Calculations production'!$F$11,'Calculations production'!$L$11))*2000</f>
        <v>0.06700389260897227</v>
      </c>
      <c r="N19" s="11"/>
      <c r="O19" s="152"/>
      <c r="P19" s="14"/>
      <c r="Q19" s="672"/>
      <c r="R19" s="673"/>
      <c r="S19" s="673"/>
      <c r="T19" s="136"/>
      <c r="U19" s="265">
        <f>U18/(AVERAGE('Calculations production'!$T$11,'Calculations production'!$Z$11))*2000</f>
        <v>0.019774647902809084</v>
      </c>
      <c r="V19" s="15"/>
      <c r="W19" s="676"/>
      <c r="X19" s="677"/>
      <c r="Y19" s="677"/>
      <c r="Z19" s="348"/>
      <c r="AA19" s="353">
        <f>AA18/(AVERAGE('Calculations production'!$T$11,'Calculations production'!$Z$11))*2000</f>
        <v>0.06997986968961627</v>
      </c>
      <c r="AB19" s="11"/>
      <c r="AC19" s="152"/>
      <c r="AD19" s="14"/>
      <c r="AE19" s="672"/>
      <c r="AF19" s="673"/>
      <c r="AG19" s="673"/>
      <c r="AH19" s="136"/>
      <c r="AI19" s="265"/>
      <c r="AJ19" s="15"/>
      <c r="AK19" s="676"/>
      <c r="AL19" s="677"/>
      <c r="AM19" s="677"/>
      <c r="AN19" s="348"/>
      <c r="AO19" s="353"/>
      <c r="AP19" s="11"/>
      <c r="AQ19" s="149"/>
      <c r="BH19" s="150"/>
      <c r="BI19" s="150"/>
      <c r="BJ19" s="150"/>
      <c r="BK19" s="150"/>
      <c r="BL19" s="150"/>
      <c r="BM19" s="150"/>
      <c r="BN19" s="150"/>
      <c r="BO19" s="150"/>
      <c r="BP19" s="150"/>
      <c r="BQ19" s="150"/>
      <c r="BR19" s="150"/>
      <c r="BS19" s="150"/>
      <c r="BT19" s="150"/>
    </row>
    <row r="20" spans="2:72" s="147" customFormat="1" ht="9.75" customHeight="1">
      <c r="B20" s="14"/>
      <c r="C20" s="22"/>
      <c r="D20" s="22"/>
      <c r="E20" s="22"/>
      <c r="F20" s="22"/>
      <c r="G20" s="22"/>
      <c r="H20" s="15"/>
      <c r="I20" s="22"/>
      <c r="J20" s="22"/>
      <c r="K20" s="23"/>
      <c r="L20" s="22"/>
      <c r="M20" s="22"/>
      <c r="N20" s="11"/>
      <c r="O20" s="152"/>
      <c r="P20" s="14"/>
      <c r="Q20" s="22"/>
      <c r="R20" s="22"/>
      <c r="S20" s="22"/>
      <c r="T20" s="22"/>
      <c r="U20" s="22"/>
      <c r="V20" s="15"/>
      <c r="W20" s="350"/>
      <c r="X20" s="350"/>
      <c r="Y20" s="351"/>
      <c r="Z20" s="350"/>
      <c r="AA20" s="350"/>
      <c r="AB20" s="11"/>
      <c r="AC20" s="152"/>
      <c r="AD20" s="14"/>
      <c r="AE20" s="22"/>
      <c r="AF20" s="22"/>
      <c r="AG20" s="22"/>
      <c r="AH20" s="22"/>
      <c r="AI20" s="22"/>
      <c r="AJ20" s="15"/>
      <c r="AK20" s="350"/>
      <c r="AL20" s="350"/>
      <c r="AM20" s="351"/>
      <c r="AN20" s="350"/>
      <c r="AO20" s="350"/>
      <c r="AP20" s="11"/>
      <c r="AQ20" s="149"/>
      <c r="BH20" s="150"/>
      <c r="BI20" s="150"/>
      <c r="BJ20" s="150"/>
      <c r="BK20" s="150"/>
      <c r="BL20" s="150"/>
      <c r="BM20" s="150"/>
      <c r="BN20" s="150"/>
      <c r="BO20" s="150"/>
      <c r="BP20" s="150"/>
      <c r="BQ20" s="150"/>
      <c r="BR20" s="150"/>
      <c r="BS20" s="150"/>
      <c r="BT20" s="150"/>
    </row>
    <row r="21" spans="2:72" s="147" customFormat="1" ht="18" customHeight="1">
      <c r="B21" s="14"/>
      <c r="C21" s="22"/>
      <c r="D21" s="22"/>
      <c r="E21" s="22"/>
      <c r="F21" s="22"/>
      <c r="G21" s="22"/>
      <c r="H21" s="15"/>
      <c r="I21" s="659" t="s">
        <v>128</v>
      </c>
      <c r="J21" s="660"/>
      <c r="K21" s="660"/>
      <c r="L21" s="660"/>
      <c r="M21" s="661"/>
      <c r="N21" s="11"/>
      <c r="O21" s="152"/>
      <c r="P21" s="14"/>
      <c r="Q21" s="22"/>
      <c r="R21" s="22"/>
      <c r="S21" s="22"/>
      <c r="T21" s="22"/>
      <c r="U21" s="22"/>
      <c r="V21" s="15"/>
      <c r="W21" s="667" t="s">
        <v>128</v>
      </c>
      <c r="X21" s="668"/>
      <c r="Y21" s="668"/>
      <c r="Z21" s="668"/>
      <c r="AA21" s="669"/>
      <c r="AB21" s="11"/>
      <c r="AC21" s="152"/>
      <c r="AD21" s="14"/>
      <c r="AE21" s="22"/>
      <c r="AF21" s="22"/>
      <c r="AG21" s="22"/>
      <c r="AH21" s="22"/>
      <c r="AI21" s="22"/>
      <c r="AJ21" s="15"/>
      <c r="AK21" s="667" t="s">
        <v>139</v>
      </c>
      <c r="AL21" s="668"/>
      <c r="AM21" s="668"/>
      <c r="AN21" s="668"/>
      <c r="AO21" s="669"/>
      <c r="AP21" s="11"/>
      <c r="AQ21" s="149"/>
      <c r="BH21" s="150"/>
      <c r="BI21" s="150"/>
      <c r="BJ21" s="150"/>
      <c r="BK21" s="150"/>
      <c r="BL21" s="150"/>
      <c r="BM21" s="150"/>
      <c r="BN21" s="150"/>
      <c r="BO21" s="150"/>
      <c r="BP21" s="150"/>
      <c r="BQ21" s="150"/>
      <c r="BR21" s="150"/>
      <c r="BS21" s="150"/>
      <c r="BT21" s="150"/>
    </row>
    <row r="22" spans="2:72" s="147" customFormat="1" ht="18" customHeight="1">
      <c r="B22" s="14"/>
      <c r="C22" s="22"/>
      <c r="D22" s="22"/>
      <c r="E22" s="22"/>
      <c r="F22" s="22"/>
      <c r="G22" s="22"/>
      <c r="H22" s="15"/>
      <c r="I22" s="663" t="s">
        <v>41</v>
      </c>
      <c r="J22" s="664"/>
      <c r="K22" s="664"/>
      <c r="L22" s="135"/>
      <c r="M22" s="330">
        <f>AVERAGE(L70:L71)</f>
        <v>1.6723875838926174</v>
      </c>
      <c r="N22" s="11"/>
      <c r="O22" s="152"/>
      <c r="P22" s="14"/>
      <c r="Q22" s="22"/>
      <c r="R22" s="22"/>
      <c r="S22" s="22"/>
      <c r="T22" s="22"/>
      <c r="U22" s="22"/>
      <c r="V22" s="15"/>
      <c r="W22" s="674" t="s">
        <v>41</v>
      </c>
      <c r="X22" s="675"/>
      <c r="Y22" s="675"/>
      <c r="Z22" s="346"/>
      <c r="AA22" s="354">
        <f>AVERAGE(Z70:Z71)</f>
        <v>2.1627919463087246</v>
      </c>
      <c r="AB22" s="11"/>
      <c r="AC22" s="152"/>
      <c r="AD22" s="14"/>
      <c r="AE22" s="22"/>
      <c r="AF22" s="22"/>
      <c r="AG22" s="22"/>
      <c r="AH22" s="22"/>
      <c r="AI22" s="22"/>
      <c r="AJ22" s="15"/>
      <c r="AK22" s="674" t="s">
        <v>41</v>
      </c>
      <c r="AL22" s="675"/>
      <c r="AM22" s="675"/>
      <c r="AN22" s="346"/>
      <c r="AO22" s="354">
        <f>AVERAGE(AN70:AN71)</f>
        <v>2.1627919463087246</v>
      </c>
      <c r="AP22" s="11"/>
      <c r="AQ22" s="149"/>
      <c r="BH22" s="150"/>
      <c r="BI22" s="150"/>
      <c r="BJ22" s="150"/>
      <c r="BK22" s="150"/>
      <c r="BL22" s="150"/>
      <c r="BM22" s="150"/>
      <c r="BN22" s="150"/>
      <c r="BO22" s="150"/>
      <c r="BP22" s="150"/>
      <c r="BQ22" s="150"/>
      <c r="BR22" s="150"/>
      <c r="BS22" s="150"/>
      <c r="BT22" s="150"/>
    </row>
    <row r="23" spans="2:72" s="147" customFormat="1" ht="18" customHeight="1">
      <c r="B23" s="14"/>
      <c r="C23" s="22"/>
      <c r="D23" s="22"/>
      <c r="E23" s="22"/>
      <c r="F23" s="22"/>
      <c r="G23" s="22"/>
      <c r="H23" s="15"/>
      <c r="I23" s="665"/>
      <c r="J23" s="666"/>
      <c r="K23" s="666"/>
      <c r="L23" s="136"/>
      <c r="M23" s="268">
        <f>M22/(AVERAGE('Calculations production'!$F$11,'Calculations production'!$L$11))*2000</f>
        <v>0.01030463144305418</v>
      </c>
      <c r="N23" s="11"/>
      <c r="O23" s="152"/>
      <c r="P23" s="14"/>
      <c r="Q23" s="22"/>
      <c r="R23" s="22"/>
      <c r="S23" s="22"/>
      <c r="T23" s="22"/>
      <c r="U23" s="22"/>
      <c r="V23" s="15"/>
      <c r="W23" s="676"/>
      <c r="X23" s="677"/>
      <c r="Y23" s="677"/>
      <c r="Z23" s="348"/>
      <c r="AA23" s="353">
        <f>AA22/(AVERAGE('Calculations production'!$T$11,'Calculations production'!$Z$11))*2000</f>
        <v>0.011323191982999048</v>
      </c>
      <c r="AB23" s="11"/>
      <c r="AC23" s="152"/>
      <c r="AD23" s="14"/>
      <c r="AE23" s="22"/>
      <c r="AF23" s="22"/>
      <c r="AG23" s="22"/>
      <c r="AH23" s="22"/>
      <c r="AI23" s="22"/>
      <c r="AJ23" s="15"/>
      <c r="AK23" s="676"/>
      <c r="AL23" s="677"/>
      <c r="AM23" s="677"/>
      <c r="AN23" s="348"/>
      <c r="AO23" s="353"/>
      <c r="AP23" s="11"/>
      <c r="AQ23" s="149"/>
      <c r="BH23" s="150"/>
      <c r="BI23" s="150"/>
      <c r="BJ23" s="150"/>
      <c r="BK23" s="150"/>
      <c r="BL23" s="150"/>
      <c r="BM23" s="150"/>
      <c r="BN23" s="150"/>
      <c r="BO23" s="150"/>
      <c r="BP23" s="150"/>
      <c r="BQ23" s="150"/>
      <c r="BR23" s="150"/>
      <c r="BS23" s="150"/>
      <c r="BT23" s="150"/>
    </row>
    <row r="24" spans="2:72" s="147" customFormat="1" ht="9.75" customHeight="1" thickBot="1">
      <c r="B24" s="21"/>
      <c r="C24" s="89"/>
      <c r="D24" s="89"/>
      <c r="E24" s="13"/>
      <c r="F24" s="13"/>
      <c r="G24" s="90"/>
      <c r="H24" s="13"/>
      <c r="I24" s="91"/>
      <c r="J24" s="91"/>
      <c r="K24" s="13"/>
      <c r="L24" s="90"/>
      <c r="M24" s="90"/>
      <c r="N24" s="12"/>
      <c r="O24" s="152"/>
      <c r="P24" s="21"/>
      <c r="Q24" s="89"/>
      <c r="R24" s="89"/>
      <c r="S24" s="13"/>
      <c r="T24" s="13"/>
      <c r="U24" s="90"/>
      <c r="V24" s="13"/>
      <c r="W24" s="91"/>
      <c r="X24" s="91"/>
      <c r="Y24" s="13"/>
      <c r="Z24" s="90"/>
      <c r="AA24" s="90"/>
      <c r="AB24" s="12"/>
      <c r="AC24" s="152"/>
      <c r="AD24" s="21"/>
      <c r="AE24" s="89"/>
      <c r="AF24" s="89"/>
      <c r="AG24" s="13"/>
      <c r="AH24" s="13"/>
      <c r="AI24" s="90"/>
      <c r="AJ24" s="13"/>
      <c r="AK24" s="91"/>
      <c r="AL24" s="91"/>
      <c r="AM24" s="13"/>
      <c r="AN24" s="90"/>
      <c r="AO24" s="90"/>
      <c r="AP24" s="12"/>
      <c r="AQ24" s="149"/>
      <c r="BH24" s="150"/>
      <c r="BI24" s="150"/>
      <c r="BJ24" s="150"/>
      <c r="BK24" s="150"/>
      <c r="BL24" s="150"/>
      <c r="BM24" s="150"/>
      <c r="BN24" s="150"/>
      <c r="BO24" s="150"/>
      <c r="BP24" s="150"/>
      <c r="BQ24" s="150"/>
      <c r="BR24" s="150"/>
      <c r="BS24" s="150"/>
      <c r="BT24" s="150"/>
    </row>
    <row r="25" spans="2:43" s="147" customFormat="1" ht="9.75" customHeight="1" thickBot="1" thickTop="1">
      <c r="B25" s="120"/>
      <c r="C25" s="121"/>
      <c r="D25" s="121"/>
      <c r="E25" s="120"/>
      <c r="F25" s="120"/>
      <c r="G25" s="133"/>
      <c r="H25" s="120"/>
      <c r="I25" s="134"/>
      <c r="J25" s="134"/>
      <c r="K25" s="120"/>
      <c r="L25" s="133"/>
      <c r="M25" s="133"/>
      <c r="N25" s="120"/>
      <c r="O25" s="152"/>
      <c r="P25" s="120"/>
      <c r="Q25" s="121"/>
      <c r="R25" s="121"/>
      <c r="S25" s="120"/>
      <c r="T25" s="120"/>
      <c r="U25" s="133"/>
      <c r="V25" s="120"/>
      <c r="W25" s="134"/>
      <c r="X25" s="134"/>
      <c r="Y25" s="120"/>
      <c r="Z25" s="133"/>
      <c r="AA25" s="133"/>
      <c r="AB25" s="120"/>
      <c r="AC25" s="152"/>
      <c r="AD25" s="120"/>
      <c r="AE25" s="121"/>
      <c r="AF25" s="121"/>
      <c r="AG25" s="120"/>
      <c r="AH25" s="120"/>
      <c r="AI25" s="133"/>
      <c r="AJ25" s="120"/>
      <c r="AK25" s="134"/>
      <c r="AL25" s="134"/>
      <c r="AM25" s="120"/>
      <c r="AN25" s="133"/>
      <c r="AO25" s="133"/>
      <c r="AP25" s="120"/>
      <c r="AQ25" s="149"/>
    </row>
    <row r="26" spans="2:43" s="147" customFormat="1" ht="18" customHeight="1" thickBot="1" thickTop="1">
      <c r="B26" s="8"/>
      <c r="C26" s="86"/>
      <c r="D26" s="84"/>
      <c r="E26" s="86"/>
      <c r="F26" s="86"/>
      <c r="G26" s="86"/>
      <c r="H26" s="87"/>
      <c r="I26" s="9"/>
      <c r="J26" s="9"/>
      <c r="K26" s="9"/>
      <c r="L26" s="9"/>
      <c r="M26" s="9"/>
      <c r="N26" s="88"/>
      <c r="O26" s="152"/>
      <c r="P26" s="8"/>
      <c r="Q26" s="86"/>
      <c r="R26" s="84"/>
      <c r="S26" s="86"/>
      <c r="T26" s="86"/>
      <c r="U26" s="86"/>
      <c r="V26" s="87"/>
      <c r="W26" s="9"/>
      <c r="X26" s="9"/>
      <c r="Y26" s="9"/>
      <c r="Z26" s="9"/>
      <c r="AA26" s="9"/>
      <c r="AB26" s="88"/>
      <c r="AC26" s="152"/>
      <c r="AD26" s="8"/>
      <c r="AE26" s="86"/>
      <c r="AF26" s="84"/>
      <c r="AG26" s="86"/>
      <c r="AH26" s="86"/>
      <c r="AI26" s="86"/>
      <c r="AJ26" s="87"/>
      <c r="AK26" s="9"/>
      <c r="AL26" s="9"/>
      <c r="AM26" s="9"/>
      <c r="AN26" s="9"/>
      <c r="AO26" s="9"/>
      <c r="AP26" s="88"/>
      <c r="AQ26" s="149"/>
    </row>
    <row r="27" spans="2:43" s="147" customFormat="1" ht="18" customHeight="1" thickBot="1">
      <c r="B27" s="14"/>
      <c r="C27" s="656" t="s">
        <v>113</v>
      </c>
      <c r="D27" s="657"/>
      <c r="E27" s="657"/>
      <c r="F27" s="657"/>
      <c r="G27" s="657"/>
      <c r="H27" s="657"/>
      <c r="I27" s="657"/>
      <c r="J27" s="657"/>
      <c r="K27" s="657"/>
      <c r="L27" s="657"/>
      <c r="M27" s="658"/>
      <c r="N27" s="11"/>
      <c r="O27" s="152"/>
      <c r="P27" s="14"/>
      <c r="Q27" s="656" t="s">
        <v>114</v>
      </c>
      <c r="R27" s="657"/>
      <c r="S27" s="657"/>
      <c r="T27" s="657"/>
      <c r="U27" s="657"/>
      <c r="V27" s="657"/>
      <c r="W27" s="657"/>
      <c r="X27" s="657"/>
      <c r="Y27" s="657"/>
      <c r="Z27" s="657"/>
      <c r="AA27" s="658"/>
      <c r="AB27" s="11"/>
      <c r="AC27" s="152"/>
      <c r="AD27" s="14"/>
      <c r="AE27" s="656" t="s">
        <v>115</v>
      </c>
      <c r="AF27" s="657"/>
      <c r="AG27" s="657"/>
      <c r="AH27" s="657"/>
      <c r="AI27" s="657"/>
      <c r="AJ27" s="657"/>
      <c r="AK27" s="657"/>
      <c r="AL27" s="657"/>
      <c r="AM27" s="657"/>
      <c r="AN27" s="657"/>
      <c r="AO27" s="658"/>
      <c r="AP27" s="11"/>
      <c r="AQ27" s="149"/>
    </row>
    <row r="28" spans="2:43" s="147" customFormat="1" ht="9.75" customHeight="1">
      <c r="B28" s="14"/>
      <c r="C28" s="138"/>
      <c r="D28" s="23"/>
      <c r="E28" s="22"/>
      <c r="F28" s="22"/>
      <c r="G28" s="22"/>
      <c r="H28" s="15"/>
      <c r="I28" s="22"/>
      <c r="J28" s="22"/>
      <c r="K28" s="23"/>
      <c r="L28" s="22"/>
      <c r="M28" s="22"/>
      <c r="N28" s="11"/>
      <c r="O28" s="152"/>
      <c r="P28" s="14"/>
      <c r="Q28" s="138"/>
      <c r="R28" s="23"/>
      <c r="S28" s="22"/>
      <c r="T28" s="22"/>
      <c r="U28" s="22"/>
      <c r="V28" s="15"/>
      <c r="W28" s="22"/>
      <c r="X28" s="22"/>
      <c r="Y28" s="23"/>
      <c r="Z28" s="22"/>
      <c r="AA28" s="22"/>
      <c r="AB28" s="11"/>
      <c r="AC28" s="152"/>
      <c r="AD28" s="14"/>
      <c r="AE28" s="138"/>
      <c r="AF28" s="23"/>
      <c r="AG28" s="22"/>
      <c r="AH28" s="22"/>
      <c r="AI28" s="22"/>
      <c r="AJ28" s="15"/>
      <c r="AK28" s="22"/>
      <c r="AL28" s="22"/>
      <c r="AM28" s="23"/>
      <c r="AN28" s="22"/>
      <c r="AO28" s="22"/>
      <c r="AP28" s="11"/>
      <c r="AQ28" s="149"/>
    </row>
    <row r="29" spans="2:51" s="147" customFormat="1" ht="18" customHeight="1">
      <c r="B29" s="14"/>
      <c r="C29" s="678" t="s">
        <v>55</v>
      </c>
      <c r="D29" s="679"/>
      <c r="E29" s="679"/>
      <c r="F29" s="679"/>
      <c r="G29" s="680"/>
      <c r="H29" s="15"/>
      <c r="I29" s="678" t="s">
        <v>120</v>
      </c>
      <c r="J29" s="679"/>
      <c r="K29" s="679"/>
      <c r="L29" s="679"/>
      <c r="M29" s="680"/>
      <c r="N29" s="11"/>
      <c r="O29" s="152"/>
      <c r="P29" s="14"/>
      <c r="Q29" s="678" t="s">
        <v>55</v>
      </c>
      <c r="R29" s="679"/>
      <c r="S29" s="679"/>
      <c r="T29" s="679"/>
      <c r="U29" s="680"/>
      <c r="V29" s="15"/>
      <c r="W29" s="678" t="s">
        <v>43</v>
      </c>
      <c r="X29" s="679"/>
      <c r="Y29" s="679"/>
      <c r="Z29" s="679"/>
      <c r="AA29" s="680"/>
      <c r="AB29" s="11"/>
      <c r="AC29" s="152"/>
      <c r="AD29" s="14"/>
      <c r="AE29" s="659" t="s">
        <v>55</v>
      </c>
      <c r="AF29" s="660"/>
      <c r="AG29" s="660"/>
      <c r="AH29" s="660"/>
      <c r="AI29" s="661"/>
      <c r="AJ29" s="15"/>
      <c r="AK29" s="659" t="s">
        <v>43</v>
      </c>
      <c r="AL29" s="660"/>
      <c r="AM29" s="660"/>
      <c r="AN29" s="660"/>
      <c r="AO29" s="661"/>
      <c r="AP29" s="11"/>
      <c r="AQ29" s="149"/>
      <c r="AY29" s="120"/>
    </row>
    <row r="30" spans="2:64" s="147" customFormat="1" ht="18" customHeight="1">
      <c r="B30" s="14"/>
      <c r="C30" s="130"/>
      <c r="D30" s="82"/>
      <c r="E30" s="130" t="s">
        <v>46</v>
      </c>
      <c r="F30" s="131"/>
      <c r="G30" s="132"/>
      <c r="H30" s="15"/>
      <c r="I30" s="130"/>
      <c r="J30" s="82"/>
      <c r="K30" s="130" t="s">
        <v>46</v>
      </c>
      <c r="L30" s="131"/>
      <c r="M30" s="132"/>
      <c r="N30" s="11"/>
      <c r="O30" s="152"/>
      <c r="P30" s="14"/>
      <c r="Q30" s="130"/>
      <c r="R30" s="82"/>
      <c r="S30" s="130" t="s">
        <v>46</v>
      </c>
      <c r="T30" s="131"/>
      <c r="U30" s="132"/>
      <c r="V30" s="15"/>
      <c r="W30" s="130"/>
      <c r="X30" s="82"/>
      <c r="Y30" s="130" t="s">
        <v>46</v>
      </c>
      <c r="Z30" s="131"/>
      <c r="AA30" s="132"/>
      <c r="AB30" s="11"/>
      <c r="AC30" s="152"/>
      <c r="AD30" s="14"/>
      <c r="AE30" s="248"/>
      <c r="AF30" s="121"/>
      <c r="AG30" s="248" t="s">
        <v>46</v>
      </c>
      <c r="AH30" s="249"/>
      <c r="AI30" s="132"/>
      <c r="AJ30" s="15"/>
      <c r="AK30" s="248"/>
      <c r="AL30" s="121"/>
      <c r="AM30" s="248" t="s">
        <v>46</v>
      </c>
      <c r="AN30" s="249"/>
      <c r="AO30" s="132"/>
      <c r="AP30" s="11"/>
      <c r="AQ30" s="149"/>
      <c r="AY30" s="120"/>
      <c r="BL30" s="120"/>
    </row>
    <row r="31" spans="2:64" s="147" customFormat="1" ht="18" customHeight="1">
      <c r="B31" s="14"/>
      <c r="C31" s="106" t="s">
        <v>99</v>
      </c>
      <c r="D31" s="107"/>
      <c r="E31" s="108"/>
      <c r="F31" s="235">
        <v>456.3</v>
      </c>
      <c r="G31" s="238">
        <f>F31*2000/'Calculations production'!$F$11</f>
        <v>2.299725323186251</v>
      </c>
      <c r="H31" s="15"/>
      <c r="I31" s="241" t="s">
        <v>99</v>
      </c>
      <c r="J31" s="242"/>
      <c r="K31" s="135"/>
      <c r="L31" s="243">
        <v>350.778</v>
      </c>
      <c r="M31" s="238">
        <f>L31*2000/'Calculations production'!$F$11</f>
        <v>1.7679006123528966</v>
      </c>
      <c r="N31" s="11"/>
      <c r="O31" s="152"/>
      <c r="P31" s="14"/>
      <c r="Q31" s="250" t="s">
        <v>99</v>
      </c>
      <c r="R31" s="242"/>
      <c r="S31" s="135"/>
      <c r="T31" s="235">
        <v>335.3</v>
      </c>
      <c r="U31" s="238">
        <f>T31*2000/'Calculations production'!$T$11</f>
        <v>1.913179426902053</v>
      </c>
      <c r="V31" s="15"/>
      <c r="W31" s="241" t="s">
        <v>99</v>
      </c>
      <c r="X31" s="242"/>
      <c r="Y31" s="135"/>
      <c r="Z31" s="243">
        <v>630.3</v>
      </c>
      <c r="AA31" s="238">
        <f>Z31*2000/'Calculations production'!$T$11</f>
        <v>3.5964121466637757</v>
      </c>
      <c r="AB31" s="11"/>
      <c r="AC31" s="152"/>
      <c r="AD31" s="14"/>
      <c r="AE31" s="250" t="s">
        <v>99</v>
      </c>
      <c r="AF31" s="242"/>
      <c r="AG31" s="135"/>
      <c r="AH31" s="235">
        <f>F31+T31</f>
        <v>791.6</v>
      </c>
      <c r="AI31" s="238"/>
      <c r="AJ31" s="15"/>
      <c r="AK31" s="241" t="s">
        <v>99</v>
      </c>
      <c r="AL31" s="242"/>
      <c r="AM31" s="135"/>
      <c r="AN31" s="243">
        <f>L31+Z31</f>
        <v>981.078</v>
      </c>
      <c r="AO31" s="238"/>
      <c r="AP31" s="11"/>
      <c r="AQ31" s="149"/>
      <c r="AY31" s="120"/>
      <c r="BL31" s="120"/>
    </row>
    <row r="32" spans="2:68" s="147" customFormat="1" ht="18" customHeight="1">
      <c r="B32" s="14"/>
      <c r="C32" s="151" t="s">
        <v>32</v>
      </c>
      <c r="D32" s="82"/>
      <c r="E32" s="81"/>
      <c r="F32" s="236">
        <v>201.2</v>
      </c>
      <c r="G32" s="239">
        <f>F32*2000/'Calculations production'!$L$11</f>
        <v>1.5946169788665696</v>
      </c>
      <c r="H32" s="15"/>
      <c r="I32" s="244" t="s">
        <v>32</v>
      </c>
      <c r="J32" s="134"/>
      <c r="K32" s="120"/>
      <c r="L32" s="245">
        <v>223.064</v>
      </c>
      <c r="M32" s="239">
        <f>L32*2000/'Calculations production'!$L$11</f>
        <v>1.7679008040451913</v>
      </c>
      <c r="N32" s="11"/>
      <c r="O32" s="152"/>
      <c r="P32" s="14"/>
      <c r="Q32" s="246" t="s">
        <v>32</v>
      </c>
      <c r="R32" s="121"/>
      <c r="S32" s="120"/>
      <c r="T32" s="236">
        <v>351.7</v>
      </c>
      <c r="U32" s="239">
        <f>T32*2000/'Calculations production'!$Z$11</f>
        <v>1.7010635879527745</v>
      </c>
      <c r="V32" s="15"/>
      <c r="W32" s="244" t="s">
        <v>32</v>
      </c>
      <c r="X32" s="134"/>
      <c r="Y32" s="120"/>
      <c r="Z32" s="245">
        <v>514.1</v>
      </c>
      <c r="AA32" s="239">
        <f>Z32*2000/'Calculations production'!$Z$11</f>
        <v>2.4865419123301717</v>
      </c>
      <c r="AB32" s="11"/>
      <c r="AC32" s="152"/>
      <c r="AD32" s="14"/>
      <c r="AE32" s="246" t="s">
        <v>32</v>
      </c>
      <c r="AF32" s="121"/>
      <c r="AG32" s="120"/>
      <c r="AH32" s="236">
        <f>F32+T32</f>
        <v>552.9</v>
      </c>
      <c r="AI32" s="239"/>
      <c r="AJ32" s="15"/>
      <c r="AK32" s="244" t="s">
        <v>32</v>
      </c>
      <c r="AL32" s="134"/>
      <c r="AM32" s="120"/>
      <c r="AN32" s="245">
        <f>L32+Z32</f>
        <v>737.164</v>
      </c>
      <c r="AO32" s="239"/>
      <c r="AP32" s="11"/>
      <c r="AQ32" s="149"/>
      <c r="AY32" s="120"/>
      <c r="BH32" s="152"/>
      <c r="BI32" s="152"/>
      <c r="BJ32" s="152"/>
      <c r="BK32" s="152"/>
      <c r="BM32" s="152"/>
      <c r="BO32" s="152"/>
      <c r="BP32" s="152"/>
    </row>
    <row r="33" spans="2:51" s="147" customFormat="1" ht="18" customHeight="1">
      <c r="B33" s="14"/>
      <c r="C33" s="151" t="s">
        <v>25</v>
      </c>
      <c r="D33" s="82"/>
      <c r="E33" s="81"/>
      <c r="F33" s="236">
        <v>113.4</v>
      </c>
      <c r="G33" s="239">
        <f>F33*2000/'Calculations production'!$F$19</f>
        <v>1.5783979400097432</v>
      </c>
      <c r="H33" s="15"/>
      <c r="I33" s="246" t="s">
        <v>25</v>
      </c>
      <c r="J33" s="134"/>
      <c r="K33" s="120"/>
      <c r="L33" s="245">
        <v>127.432</v>
      </c>
      <c r="M33" s="239">
        <f>L33*2000/'Calculations production'!$F$19</f>
        <v>1.7737072865195909</v>
      </c>
      <c r="N33" s="11"/>
      <c r="O33" s="152"/>
      <c r="P33" s="14"/>
      <c r="Q33" s="246" t="s">
        <v>25</v>
      </c>
      <c r="R33" s="121"/>
      <c r="S33" s="120"/>
      <c r="T33" s="236">
        <v>495.3</v>
      </c>
      <c r="U33" s="239">
        <f>T33*2000/'Calculations production'!$T$19</f>
        <v>2.5084323437357563</v>
      </c>
      <c r="V33" s="15"/>
      <c r="W33" s="246" t="s">
        <v>25</v>
      </c>
      <c r="X33" s="134"/>
      <c r="Y33" s="120"/>
      <c r="Z33" s="245">
        <v>411.4</v>
      </c>
      <c r="AA33" s="239">
        <f>Z33*2000/'Calculations production'!$T$19</f>
        <v>2.0835232509850394</v>
      </c>
      <c r="AB33" s="11"/>
      <c r="AC33" s="152"/>
      <c r="AD33" s="14"/>
      <c r="AE33" s="246" t="s">
        <v>25</v>
      </c>
      <c r="AF33" s="121"/>
      <c r="AG33" s="120"/>
      <c r="AH33" s="236">
        <f>F33+T33</f>
        <v>608.7</v>
      </c>
      <c r="AI33" s="239"/>
      <c r="AJ33" s="15"/>
      <c r="AK33" s="246" t="s">
        <v>25</v>
      </c>
      <c r="AL33" s="134"/>
      <c r="AM33" s="120"/>
      <c r="AN33" s="245">
        <f>L33+Z33</f>
        <v>538.832</v>
      </c>
      <c r="AO33" s="239"/>
      <c r="AP33" s="11"/>
      <c r="AQ33" s="149"/>
      <c r="AY33" s="120"/>
    </row>
    <row r="34" spans="2:51" s="147" customFormat="1" ht="18" customHeight="1">
      <c r="B34" s="14"/>
      <c r="C34" s="151" t="s">
        <v>22</v>
      </c>
      <c r="D34" s="82"/>
      <c r="E34" s="81"/>
      <c r="F34" s="236">
        <v>412.7</v>
      </c>
      <c r="G34" s="239">
        <f>F34*2000/'Calculations production'!$L$19</f>
        <v>2.0181373184251</v>
      </c>
      <c r="H34" s="15"/>
      <c r="I34" s="246" t="s">
        <v>22</v>
      </c>
      <c r="J34" s="121"/>
      <c r="K34" s="120"/>
      <c r="L34" s="236">
        <v>472.531</v>
      </c>
      <c r="M34" s="239">
        <f>L34*2000/'Calculations production'!$L$19</f>
        <v>2.310715883723603</v>
      </c>
      <c r="N34" s="11"/>
      <c r="O34" s="152"/>
      <c r="P34" s="14"/>
      <c r="Q34" s="246" t="s">
        <v>22</v>
      </c>
      <c r="R34" s="121"/>
      <c r="S34" s="120"/>
      <c r="T34" s="236">
        <v>453.6</v>
      </c>
      <c r="U34" s="239">
        <f>T34*2000/'Calculations production'!$Z$19</f>
        <v>3.1732262532704656</v>
      </c>
      <c r="V34" s="15"/>
      <c r="W34" s="246" t="s">
        <v>22</v>
      </c>
      <c r="X34" s="121"/>
      <c r="Y34" s="120"/>
      <c r="Z34" s="236">
        <v>305.468</v>
      </c>
      <c r="AA34" s="239">
        <f>Z34*2000/'Calculations production'!$Z$19</f>
        <v>2.136946819078533</v>
      </c>
      <c r="AB34" s="11"/>
      <c r="AC34" s="152"/>
      <c r="AD34" s="14"/>
      <c r="AE34" s="246" t="s">
        <v>22</v>
      </c>
      <c r="AF34" s="121"/>
      <c r="AG34" s="120"/>
      <c r="AH34" s="236">
        <f>F34+T34</f>
        <v>866.3</v>
      </c>
      <c r="AI34" s="239"/>
      <c r="AJ34" s="15"/>
      <c r="AK34" s="246" t="s">
        <v>22</v>
      </c>
      <c r="AL34" s="121"/>
      <c r="AM34" s="120"/>
      <c r="AN34" s="245">
        <f>L34+Z34</f>
        <v>777.999</v>
      </c>
      <c r="AO34" s="239"/>
      <c r="AP34" s="11"/>
      <c r="AQ34" s="149"/>
      <c r="AY34" s="120"/>
    </row>
    <row r="35" spans="2:64" s="147" customFormat="1" ht="18" customHeight="1">
      <c r="B35" s="14"/>
      <c r="C35" s="153" t="s">
        <v>21</v>
      </c>
      <c r="D35" s="118"/>
      <c r="E35" s="83"/>
      <c r="F35" s="237">
        <v>522.1</v>
      </c>
      <c r="G35" s="240">
        <f>F35*2000/'Calculations production'!$F$27</f>
        <v>2.2917567428171357</v>
      </c>
      <c r="H35" s="15"/>
      <c r="I35" s="247" t="s">
        <v>21</v>
      </c>
      <c r="J35" s="230"/>
      <c r="K35" s="136"/>
      <c r="L35" s="237">
        <v>553.67</v>
      </c>
      <c r="M35" s="240">
        <f>L35*2000/'Calculations production'!$F$27</f>
        <v>2.4303331848219947</v>
      </c>
      <c r="N35" s="11"/>
      <c r="O35" s="152"/>
      <c r="P35" s="14"/>
      <c r="Q35" s="247"/>
      <c r="R35" s="230"/>
      <c r="S35" s="136"/>
      <c r="T35" s="237"/>
      <c r="U35" s="240"/>
      <c r="V35" s="15"/>
      <c r="W35" s="247"/>
      <c r="X35" s="230"/>
      <c r="Y35" s="136"/>
      <c r="Z35" s="237"/>
      <c r="AA35" s="240"/>
      <c r="AB35" s="11"/>
      <c r="AC35" s="152"/>
      <c r="AD35" s="14"/>
      <c r="AE35" s="247" t="s">
        <v>21</v>
      </c>
      <c r="AF35" s="230"/>
      <c r="AG35" s="136"/>
      <c r="AH35" s="237">
        <f>F35+T35</f>
        <v>522.1</v>
      </c>
      <c r="AI35" s="240"/>
      <c r="AJ35" s="15"/>
      <c r="AK35" s="247" t="s">
        <v>21</v>
      </c>
      <c r="AL35" s="230"/>
      <c r="AM35" s="136"/>
      <c r="AN35" s="271">
        <f>L35+Z35</f>
        <v>553.67</v>
      </c>
      <c r="AO35" s="240"/>
      <c r="AP35" s="11"/>
      <c r="AQ35" s="149"/>
      <c r="AY35" s="120"/>
      <c r="BL35" s="152"/>
    </row>
    <row r="36" spans="2:51" s="147" customFormat="1" ht="18" customHeight="1">
      <c r="B36" s="14"/>
      <c r="C36" s="22"/>
      <c r="D36" s="23"/>
      <c r="E36" s="22"/>
      <c r="F36" s="681"/>
      <c r="G36" s="683"/>
      <c r="H36" s="15"/>
      <c r="I36" s="22"/>
      <c r="J36" s="23"/>
      <c r="K36" s="22"/>
      <c r="L36" s="681"/>
      <c r="M36" s="683"/>
      <c r="N36" s="11"/>
      <c r="O36" s="152"/>
      <c r="P36" s="14"/>
      <c r="Q36" s="22"/>
      <c r="R36" s="23"/>
      <c r="S36" s="22"/>
      <c r="T36" s="681"/>
      <c r="U36" s="683"/>
      <c r="V36" s="15"/>
      <c r="W36" s="22"/>
      <c r="X36" s="23"/>
      <c r="Y36" s="22"/>
      <c r="Z36" s="681"/>
      <c r="AA36" s="683"/>
      <c r="AB36" s="11"/>
      <c r="AC36" s="152"/>
      <c r="AD36" s="14"/>
      <c r="AE36" s="22"/>
      <c r="AF36" s="23"/>
      <c r="AG36" s="22"/>
      <c r="AH36" s="681"/>
      <c r="AI36" s="683"/>
      <c r="AJ36" s="15"/>
      <c r="AK36" s="22"/>
      <c r="AL36" s="23"/>
      <c r="AM36" s="22"/>
      <c r="AN36" s="681"/>
      <c r="AO36" s="683"/>
      <c r="AP36" s="11"/>
      <c r="AQ36" s="149"/>
      <c r="AY36" s="120"/>
    </row>
    <row r="37" spans="2:51" s="147" customFormat="1" ht="18" customHeight="1">
      <c r="B37" s="14"/>
      <c r="C37" s="22"/>
      <c r="D37" s="23"/>
      <c r="E37" s="22"/>
      <c r="F37" s="682"/>
      <c r="G37" s="684"/>
      <c r="H37" s="15"/>
      <c r="I37" s="22"/>
      <c r="J37" s="22"/>
      <c r="K37" s="23"/>
      <c r="L37" s="682"/>
      <c r="M37" s="684"/>
      <c r="N37" s="11"/>
      <c r="O37" s="152"/>
      <c r="P37" s="14"/>
      <c r="Q37" s="22"/>
      <c r="R37" s="23"/>
      <c r="S37" s="22"/>
      <c r="T37" s="682"/>
      <c r="U37" s="684"/>
      <c r="V37" s="15"/>
      <c r="W37" s="22"/>
      <c r="X37" s="22"/>
      <c r="Y37" s="23"/>
      <c r="Z37" s="682"/>
      <c r="AA37" s="684"/>
      <c r="AB37" s="11"/>
      <c r="AC37" s="152"/>
      <c r="AD37" s="14"/>
      <c r="AE37" s="22"/>
      <c r="AF37" s="23"/>
      <c r="AG37" s="22"/>
      <c r="AH37" s="682"/>
      <c r="AI37" s="684"/>
      <c r="AJ37" s="15"/>
      <c r="AK37" s="22"/>
      <c r="AL37" s="22"/>
      <c r="AM37" s="23"/>
      <c r="AN37" s="682"/>
      <c r="AO37" s="684"/>
      <c r="AP37" s="11"/>
      <c r="AQ37" s="149"/>
      <c r="AY37" s="120"/>
    </row>
    <row r="38" spans="2:68" s="147" customFormat="1" ht="9.75" customHeight="1">
      <c r="B38" s="14"/>
      <c r="C38" s="22"/>
      <c r="D38" s="23"/>
      <c r="E38" s="22"/>
      <c r="F38" s="22"/>
      <c r="G38" s="22"/>
      <c r="H38" s="15"/>
      <c r="I38" s="22"/>
      <c r="J38" s="22"/>
      <c r="K38" s="23"/>
      <c r="L38" s="22"/>
      <c r="M38" s="22"/>
      <c r="N38" s="11"/>
      <c r="O38" s="152"/>
      <c r="P38" s="14"/>
      <c r="Q38" s="22"/>
      <c r="R38" s="23"/>
      <c r="S38" s="22"/>
      <c r="T38" s="22"/>
      <c r="U38" s="22"/>
      <c r="V38" s="15"/>
      <c r="W38" s="22"/>
      <c r="X38" s="22"/>
      <c r="Y38" s="23"/>
      <c r="Z38" s="22"/>
      <c r="AA38" s="22"/>
      <c r="AB38" s="11"/>
      <c r="AC38" s="152"/>
      <c r="AD38" s="14"/>
      <c r="AE38" s="22"/>
      <c r="AF38" s="23"/>
      <c r="AG38" s="22"/>
      <c r="AH38" s="22"/>
      <c r="AI38" s="22"/>
      <c r="AJ38" s="15"/>
      <c r="AK38" s="22"/>
      <c r="AL38" s="22"/>
      <c r="AM38" s="23"/>
      <c r="AN38" s="22"/>
      <c r="AO38" s="22"/>
      <c r="AP38" s="11"/>
      <c r="AQ38" s="149"/>
      <c r="AY38" s="120"/>
      <c r="BH38" s="148"/>
      <c r="BI38" s="148"/>
      <c r="BJ38" s="148"/>
      <c r="BK38" s="148"/>
      <c r="BM38" s="148"/>
      <c r="BO38" s="148"/>
      <c r="BP38" s="148"/>
    </row>
    <row r="39" spans="2:68" s="147" customFormat="1" ht="18" customHeight="1">
      <c r="B39" s="14"/>
      <c r="C39" s="659" t="s">
        <v>44</v>
      </c>
      <c r="D39" s="660"/>
      <c r="E39" s="660"/>
      <c r="F39" s="660"/>
      <c r="G39" s="661"/>
      <c r="H39" s="15"/>
      <c r="I39" s="659" t="s">
        <v>45</v>
      </c>
      <c r="J39" s="660"/>
      <c r="K39" s="660"/>
      <c r="L39" s="660"/>
      <c r="M39" s="661"/>
      <c r="N39" s="11"/>
      <c r="O39" s="152"/>
      <c r="P39" s="14"/>
      <c r="Q39" s="659" t="s">
        <v>44</v>
      </c>
      <c r="R39" s="660"/>
      <c r="S39" s="660"/>
      <c r="T39" s="660"/>
      <c r="U39" s="661"/>
      <c r="V39" s="15"/>
      <c r="W39" s="659" t="s">
        <v>45</v>
      </c>
      <c r="X39" s="660"/>
      <c r="Y39" s="660"/>
      <c r="Z39" s="660"/>
      <c r="AA39" s="661"/>
      <c r="AB39" s="11"/>
      <c r="AC39" s="152"/>
      <c r="AD39" s="14"/>
      <c r="AE39" s="659" t="s">
        <v>44</v>
      </c>
      <c r="AF39" s="660"/>
      <c r="AG39" s="660"/>
      <c r="AH39" s="660"/>
      <c r="AI39" s="661"/>
      <c r="AJ39" s="15"/>
      <c r="AK39" s="659" t="s">
        <v>45</v>
      </c>
      <c r="AL39" s="660"/>
      <c r="AM39" s="660"/>
      <c r="AN39" s="660"/>
      <c r="AO39" s="661"/>
      <c r="AP39" s="11"/>
      <c r="AQ39" s="149"/>
      <c r="AY39" s="120"/>
      <c r="BH39" s="148"/>
      <c r="BI39" s="148"/>
      <c r="BJ39" s="148"/>
      <c r="BK39" s="148"/>
      <c r="BM39" s="148"/>
      <c r="BO39" s="148"/>
      <c r="BP39" s="148"/>
    </row>
    <row r="40" spans="2:68" s="147" customFormat="1" ht="18" customHeight="1">
      <c r="B40" s="14"/>
      <c r="C40" s="248"/>
      <c r="D40" s="121"/>
      <c r="E40" s="248" t="s">
        <v>46</v>
      </c>
      <c r="F40" s="249"/>
      <c r="G40" s="132"/>
      <c r="H40" s="15"/>
      <c r="I40" s="248"/>
      <c r="J40" s="121"/>
      <c r="K40" s="248" t="s">
        <v>46</v>
      </c>
      <c r="L40" s="249"/>
      <c r="M40" s="132"/>
      <c r="N40" s="11"/>
      <c r="O40" s="152"/>
      <c r="P40" s="14"/>
      <c r="Q40" s="248"/>
      <c r="R40" s="121"/>
      <c r="S40" s="248" t="s">
        <v>46</v>
      </c>
      <c r="T40" s="249"/>
      <c r="U40" s="132"/>
      <c r="V40" s="15"/>
      <c r="W40" s="248"/>
      <c r="X40" s="121"/>
      <c r="Y40" s="248" t="s">
        <v>46</v>
      </c>
      <c r="Z40" s="249"/>
      <c r="AA40" s="132"/>
      <c r="AB40" s="11"/>
      <c r="AC40" s="152"/>
      <c r="AD40" s="14"/>
      <c r="AE40" s="248"/>
      <c r="AF40" s="121"/>
      <c r="AG40" s="248" t="s">
        <v>46</v>
      </c>
      <c r="AH40" s="249"/>
      <c r="AI40" s="132"/>
      <c r="AJ40" s="15"/>
      <c r="AK40" s="248"/>
      <c r="AL40" s="121"/>
      <c r="AM40" s="248" t="s">
        <v>46</v>
      </c>
      <c r="AN40" s="249"/>
      <c r="AO40" s="132"/>
      <c r="AP40" s="11"/>
      <c r="AQ40" s="149"/>
      <c r="AY40" s="120"/>
      <c r="BH40" s="148"/>
      <c r="BI40" s="148"/>
      <c r="BJ40" s="148"/>
      <c r="BK40" s="148"/>
      <c r="BM40" s="148"/>
      <c r="BO40" s="148"/>
      <c r="BP40" s="148"/>
    </row>
    <row r="41" spans="2:68" s="147" customFormat="1" ht="18" customHeight="1">
      <c r="B41" s="14"/>
      <c r="C41" s="250" t="s">
        <v>99</v>
      </c>
      <c r="D41" s="251"/>
      <c r="E41" s="135"/>
      <c r="F41" s="243">
        <v>0.1785</v>
      </c>
      <c r="G41" s="238">
        <f>F41*2000/'Calculations production'!$F$11</f>
        <v>0.0008996295642970542</v>
      </c>
      <c r="H41" s="15"/>
      <c r="I41" s="250" t="s">
        <v>99</v>
      </c>
      <c r="J41" s="251"/>
      <c r="K41" s="135"/>
      <c r="L41" s="252">
        <v>9.5517</v>
      </c>
      <c r="M41" s="238">
        <f>L41*2000/'Calculations production'!$F$11</f>
        <v>0.048140009575888924</v>
      </c>
      <c r="N41" s="11"/>
      <c r="O41" s="152"/>
      <c r="P41" s="14"/>
      <c r="Q41" s="250" t="s">
        <v>99</v>
      </c>
      <c r="R41" s="251"/>
      <c r="S41" s="135"/>
      <c r="T41" s="243">
        <v>0.081</v>
      </c>
      <c r="U41" s="238">
        <f>T41*2000/'Calculations production'!$T$11</f>
        <v>0.0004621757637311849</v>
      </c>
      <c r="V41" s="15"/>
      <c r="W41" s="250" t="s">
        <v>99</v>
      </c>
      <c r="X41" s="251"/>
      <c r="Y41" s="135"/>
      <c r="Z41" s="252">
        <v>10.3</v>
      </c>
      <c r="AA41" s="238">
        <f>Z41*2000/'Calculations production'!$T$11</f>
        <v>0.05877049835100252</v>
      </c>
      <c r="AB41" s="11"/>
      <c r="AC41" s="152"/>
      <c r="AD41" s="14"/>
      <c r="AE41" s="250" t="s">
        <v>99</v>
      </c>
      <c r="AF41" s="251"/>
      <c r="AG41" s="135"/>
      <c r="AH41" s="243">
        <f>F41+T41</f>
        <v>0.2595</v>
      </c>
      <c r="AI41" s="238"/>
      <c r="AJ41" s="15"/>
      <c r="AK41" s="250" t="s">
        <v>99</v>
      </c>
      <c r="AL41" s="251"/>
      <c r="AM41" s="135"/>
      <c r="AN41" s="252">
        <f>L41+Z41</f>
        <v>19.8517</v>
      </c>
      <c r="AO41" s="238"/>
      <c r="AP41" s="11"/>
      <c r="AQ41" s="149"/>
      <c r="AY41" s="120"/>
      <c r="BH41" s="148"/>
      <c r="BI41" s="148"/>
      <c r="BJ41" s="148"/>
      <c r="BK41" s="148"/>
      <c r="BL41" s="148"/>
      <c r="BM41" s="148"/>
      <c r="BO41" s="148"/>
      <c r="BP41" s="148"/>
    </row>
    <row r="42" spans="2:68" s="147" customFormat="1" ht="18" customHeight="1">
      <c r="B42" s="14"/>
      <c r="C42" s="246" t="s">
        <v>32</v>
      </c>
      <c r="D42" s="134"/>
      <c r="E42" s="120"/>
      <c r="F42" s="245">
        <v>1.3</v>
      </c>
      <c r="G42" s="239">
        <f>F42*2000/'Calculations production'!$L$11</f>
        <v>0.01030319121534066</v>
      </c>
      <c r="H42" s="15"/>
      <c r="I42" s="246" t="s">
        <v>32</v>
      </c>
      <c r="J42" s="134"/>
      <c r="K42" s="120"/>
      <c r="L42" s="253">
        <v>6.07404</v>
      </c>
      <c r="M42" s="239">
        <f>L42*2000/'Calculations production'!$L$11</f>
        <v>0.04813999659202137</v>
      </c>
      <c r="N42" s="11"/>
      <c r="O42" s="152"/>
      <c r="P42" s="14"/>
      <c r="Q42" s="246" t="s">
        <v>32</v>
      </c>
      <c r="R42" s="134"/>
      <c r="S42" s="120"/>
      <c r="T42" s="245">
        <v>10.9</v>
      </c>
      <c r="U42" s="239">
        <f>T42*2000/'Calculations production'!$Z$11</f>
        <v>0.05271991216572432</v>
      </c>
      <c r="V42" s="15"/>
      <c r="W42" s="246" t="s">
        <v>32</v>
      </c>
      <c r="X42" s="134"/>
      <c r="Y42" s="120"/>
      <c r="Z42" s="253">
        <v>6.5</v>
      </c>
      <c r="AA42" s="239">
        <f>Z42*2000/'Calculations production'!$Z$11</f>
        <v>0.03143847973185395</v>
      </c>
      <c r="AB42" s="11"/>
      <c r="AC42" s="152"/>
      <c r="AD42" s="14"/>
      <c r="AE42" s="246" t="s">
        <v>32</v>
      </c>
      <c r="AF42" s="134"/>
      <c r="AG42" s="120"/>
      <c r="AH42" s="245">
        <f>F42+T42</f>
        <v>12.200000000000001</v>
      </c>
      <c r="AI42" s="239"/>
      <c r="AJ42" s="15"/>
      <c r="AK42" s="246" t="s">
        <v>32</v>
      </c>
      <c r="AL42" s="134"/>
      <c r="AM42" s="120"/>
      <c r="AN42" s="253">
        <f>L42+Z42</f>
        <v>12.57404</v>
      </c>
      <c r="AO42" s="239"/>
      <c r="AP42" s="11"/>
      <c r="AQ42" s="149"/>
      <c r="AY42" s="120"/>
      <c r="BH42" s="148"/>
      <c r="BI42" s="148"/>
      <c r="BJ42" s="148"/>
      <c r="BK42" s="148"/>
      <c r="BL42" s="148"/>
      <c r="BM42" s="148"/>
      <c r="BO42" s="148"/>
      <c r="BP42" s="148"/>
    </row>
    <row r="43" spans="2:68" s="147" customFormat="1" ht="18" customHeight="1">
      <c r="B43" s="14"/>
      <c r="C43" s="246" t="s">
        <v>25</v>
      </c>
      <c r="D43" s="134"/>
      <c r="E43" s="120"/>
      <c r="F43" s="245">
        <v>1.8</v>
      </c>
      <c r="G43" s="239">
        <f>F43*2000/'Calculations production'!$F$19</f>
        <v>0.02505393555571021</v>
      </c>
      <c r="H43" s="15"/>
      <c r="I43" s="246" t="s">
        <v>25</v>
      </c>
      <c r="J43" s="134"/>
      <c r="K43" s="120"/>
      <c r="L43" s="254">
        <v>4.18611</v>
      </c>
      <c r="M43" s="239">
        <f>L43*2000/'Calculations production'!$F$19</f>
        <v>0.058265850093952264</v>
      </c>
      <c r="N43" s="11"/>
      <c r="O43" s="152"/>
      <c r="P43" s="14"/>
      <c r="Q43" s="246" t="s">
        <v>25</v>
      </c>
      <c r="R43" s="134"/>
      <c r="S43" s="120"/>
      <c r="T43" s="245">
        <v>0.107</v>
      </c>
      <c r="U43" s="239">
        <f>T43*2000/'Calculations production'!$T$19</f>
        <v>0.0005418983662017483</v>
      </c>
      <c r="V43" s="15"/>
      <c r="W43" s="246" t="s">
        <v>25</v>
      </c>
      <c r="X43" s="134"/>
      <c r="Y43" s="120"/>
      <c r="Z43" s="254">
        <v>2.69</v>
      </c>
      <c r="AA43" s="239">
        <f>Z43*2000/'Calculations production'!$T$19</f>
        <v>0.013623426215726195</v>
      </c>
      <c r="AB43" s="11"/>
      <c r="AC43" s="152"/>
      <c r="AD43" s="14"/>
      <c r="AE43" s="246" t="s">
        <v>25</v>
      </c>
      <c r="AF43" s="134"/>
      <c r="AG43" s="120"/>
      <c r="AH43" s="245">
        <f>F43+T43</f>
        <v>1.907</v>
      </c>
      <c r="AI43" s="239"/>
      <c r="AJ43" s="15"/>
      <c r="AK43" s="246" t="s">
        <v>25</v>
      </c>
      <c r="AL43" s="134"/>
      <c r="AM43" s="120"/>
      <c r="AN43" s="253">
        <f>L43+Z43</f>
        <v>6.876110000000001</v>
      </c>
      <c r="AO43" s="239"/>
      <c r="AP43" s="11"/>
      <c r="AQ43" s="149"/>
      <c r="AY43" s="120"/>
      <c r="BH43" s="148"/>
      <c r="BI43" s="148"/>
      <c r="BJ43" s="148"/>
      <c r="BK43" s="148"/>
      <c r="BL43" s="148"/>
      <c r="BM43" s="148"/>
      <c r="BO43" s="148"/>
      <c r="BP43" s="148"/>
    </row>
    <row r="44" spans="2:72" s="147" customFormat="1" ht="18" customHeight="1">
      <c r="B44" s="14"/>
      <c r="C44" s="246" t="s">
        <v>22</v>
      </c>
      <c r="D44" s="121"/>
      <c r="E44" s="120"/>
      <c r="F44" s="236">
        <v>2.9</v>
      </c>
      <c r="G44" s="239">
        <f>F44*2000/'Calculations production'!$L$19</f>
        <v>0.01418124115200579</v>
      </c>
      <c r="H44" s="15"/>
      <c r="I44" s="246" t="s">
        <v>22</v>
      </c>
      <c r="J44" s="121"/>
      <c r="K44" s="120"/>
      <c r="L44" s="254">
        <v>13.8038</v>
      </c>
      <c r="M44" s="239">
        <f>L44*2000/'Calculations production'!$L$19</f>
        <v>0.0675017298669164</v>
      </c>
      <c r="N44" s="11"/>
      <c r="O44" s="152"/>
      <c r="P44" s="14"/>
      <c r="Q44" s="246" t="s">
        <v>22</v>
      </c>
      <c r="R44" s="121"/>
      <c r="S44" s="120"/>
      <c r="T44" s="236">
        <v>0</v>
      </c>
      <c r="U44" s="239">
        <f>T44*2000/'Calculations production'!$Z$19</f>
        <v>0</v>
      </c>
      <c r="V44" s="15"/>
      <c r="W44" s="246" t="s">
        <v>22</v>
      </c>
      <c r="X44" s="121"/>
      <c r="Y44" s="120"/>
      <c r="Z44" s="254">
        <v>2.2</v>
      </c>
      <c r="AA44" s="239">
        <f>Z44*2000/'Calculations production'!$Z$19</f>
        <v>0.01539042715431002</v>
      </c>
      <c r="AB44" s="11"/>
      <c r="AC44" s="152"/>
      <c r="AD44" s="14"/>
      <c r="AE44" s="246" t="s">
        <v>22</v>
      </c>
      <c r="AF44" s="121"/>
      <c r="AG44" s="120"/>
      <c r="AH44" s="245">
        <f>F44+T44</f>
        <v>2.9</v>
      </c>
      <c r="AI44" s="239"/>
      <c r="AJ44" s="15"/>
      <c r="AK44" s="246" t="s">
        <v>22</v>
      </c>
      <c r="AL44" s="121"/>
      <c r="AM44" s="120"/>
      <c r="AN44" s="253">
        <f>L44+Z44</f>
        <v>16.003800000000002</v>
      </c>
      <c r="AO44" s="239"/>
      <c r="AP44" s="11"/>
      <c r="AQ44" s="149"/>
      <c r="AY44" s="120"/>
      <c r="BH44" s="148"/>
      <c r="BI44" s="148"/>
      <c r="BJ44" s="148"/>
      <c r="BK44" s="148"/>
      <c r="BL44" s="148"/>
      <c r="BM44" s="148"/>
      <c r="BN44" s="152"/>
      <c r="BO44" s="148"/>
      <c r="BP44" s="148"/>
      <c r="BQ44" s="152"/>
      <c r="BR44" s="152"/>
      <c r="BS44" s="152"/>
      <c r="BT44" s="152"/>
    </row>
    <row r="45" spans="2:68" s="147" customFormat="1" ht="18" customHeight="1">
      <c r="B45" s="14"/>
      <c r="C45" s="247" t="s">
        <v>21</v>
      </c>
      <c r="D45" s="230"/>
      <c r="E45" s="136"/>
      <c r="F45" s="237">
        <v>1.75</v>
      </c>
      <c r="G45" s="240">
        <f>F45*2000/'Calculations production'!$F$27</f>
        <v>0.007681620953706163</v>
      </c>
      <c r="H45" s="15"/>
      <c r="I45" s="247" t="s">
        <v>21</v>
      </c>
      <c r="J45" s="230"/>
      <c r="K45" s="136"/>
      <c r="L45" s="255">
        <v>17.3536</v>
      </c>
      <c r="M45" s="240">
        <f>L45*2000/'Calculations production'!$F$27</f>
        <v>0.076173587075563</v>
      </c>
      <c r="N45" s="11"/>
      <c r="O45" s="152"/>
      <c r="P45" s="14"/>
      <c r="Q45" s="247"/>
      <c r="R45" s="230"/>
      <c r="S45" s="136"/>
      <c r="T45" s="237"/>
      <c r="U45" s="240"/>
      <c r="V45" s="15"/>
      <c r="W45" s="247"/>
      <c r="X45" s="230"/>
      <c r="Y45" s="136"/>
      <c r="Z45" s="255"/>
      <c r="AA45" s="240"/>
      <c r="AB45" s="11"/>
      <c r="AC45" s="152"/>
      <c r="AD45" s="14"/>
      <c r="AE45" s="247" t="s">
        <v>21</v>
      </c>
      <c r="AF45" s="230"/>
      <c r="AG45" s="136"/>
      <c r="AH45" s="271">
        <f>F45+T45</f>
        <v>1.75</v>
      </c>
      <c r="AI45" s="240"/>
      <c r="AJ45" s="15"/>
      <c r="AK45" s="247" t="s">
        <v>21</v>
      </c>
      <c r="AL45" s="230"/>
      <c r="AM45" s="136"/>
      <c r="AN45" s="263">
        <f>L45+Z45</f>
        <v>17.3536</v>
      </c>
      <c r="AO45" s="240"/>
      <c r="AP45" s="11"/>
      <c r="AQ45" s="16"/>
      <c r="AY45" s="120"/>
      <c r="BH45" s="148"/>
      <c r="BI45" s="148"/>
      <c r="BJ45" s="148"/>
      <c r="BK45" s="148"/>
      <c r="BL45" s="148"/>
      <c r="BM45" s="148"/>
      <c r="BO45" s="148"/>
      <c r="BP45" s="148"/>
    </row>
    <row r="46" spans="2:68" s="147" customFormat="1" ht="18" customHeight="1">
      <c r="B46" s="14"/>
      <c r="C46" s="22"/>
      <c r="D46" s="23"/>
      <c r="E46" s="22"/>
      <c r="F46" s="681"/>
      <c r="G46" s="683"/>
      <c r="H46" s="15"/>
      <c r="I46" s="22"/>
      <c r="J46" s="23"/>
      <c r="K46" s="22"/>
      <c r="L46" s="681"/>
      <c r="M46" s="683"/>
      <c r="N46" s="215"/>
      <c r="O46" s="152"/>
      <c r="P46" s="14"/>
      <c r="Q46" s="22"/>
      <c r="R46" s="23"/>
      <c r="S46" s="22"/>
      <c r="T46" s="681"/>
      <c r="U46" s="683"/>
      <c r="V46" s="15"/>
      <c r="W46" s="22"/>
      <c r="X46" s="23"/>
      <c r="Y46" s="22"/>
      <c r="Z46" s="681"/>
      <c r="AA46" s="683"/>
      <c r="AB46" s="11"/>
      <c r="AC46" s="152"/>
      <c r="AD46" s="14"/>
      <c r="AE46" s="22"/>
      <c r="AF46" s="23"/>
      <c r="AG46" s="22"/>
      <c r="AH46" s="681"/>
      <c r="AI46" s="683"/>
      <c r="AJ46" s="15"/>
      <c r="AK46" s="22"/>
      <c r="AL46" s="23"/>
      <c r="AM46" s="22"/>
      <c r="AN46" s="681"/>
      <c r="AO46" s="683"/>
      <c r="AP46" s="11"/>
      <c r="AQ46" s="152"/>
      <c r="AR46" s="152"/>
      <c r="AS46" s="152"/>
      <c r="AT46" s="152"/>
      <c r="AU46" s="152"/>
      <c r="AV46" s="152"/>
      <c r="AW46" s="152"/>
      <c r="AX46" s="152"/>
      <c r="BH46" s="148"/>
      <c r="BI46" s="148"/>
      <c r="BJ46" s="148"/>
      <c r="BK46" s="148"/>
      <c r="BL46" s="148"/>
      <c r="BM46" s="148"/>
      <c r="BO46" s="148"/>
      <c r="BP46" s="148"/>
    </row>
    <row r="47" spans="2:68" s="147" customFormat="1" ht="18" customHeight="1">
      <c r="B47" s="14"/>
      <c r="C47" s="22"/>
      <c r="D47" s="23"/>
      <c r="E47" s="22"/>
      <c r="F47" s="682"/>
      <c r="G47" s="684"/>
      <c r="H47" s="15"/>
      <c r="I47" s="22"/>
      <c r="J47" s="22"/>
      <c r="K47" s="23"/>
      <c r="L47" s="682"/>
      <c r="M47" s="684"/>
      <c r="N47" s="215"/>
      <c r="O47" s="152"/>
      <c r="P47" s="14"/>
      <c r="Q47" s="22"/>
      <c r="R47" s="23"/>
      <c r="S47" s="22"/>
      <c r="T47" s="682"/>
      <c r="U47" s="684"/>
      <c r="V47" s="15"/>
      <c r="W47" s="22"/>
      <c r="X47" s="22"/>
      <c r="Y47" s="23"/>
      <c r="Z47" s="682"/>
      <c r="AA47" s="684"/>
      <c r="AB47" s="11"/>
      <c r="AC47" s="152"/>
      <c r="AD47" s="14"/>
      <c r="AE47" s="22"/>
      <c r="AF47" s="23"/>
      <c r="AG47" s="22"/>
      <c r="AH47" s="682"/>
      <c r="AI47" s="684"/>
      <c r="AJ47" s="15"/>
      <c r="AK47" s="22"/>
      <c r="AL47" s="22"/>
      <c r="AM47" s="23"/>
      <c r="AN47" s="682"/>
      <c r="AO47" s="684"/>
      <c r="AP47" s="11"/>
      <c r="AQ47" s="149"/>
      <c r="BH47" s="148"/>
      <c r="BI47" s="148"/>
      <c r="BJ47" s="148"/>
      <c r="BK47" s="148"/>
      <c r="BL47" s="148"/>
      <c r="BM47" s="148"/>
      <c r="BO47" s="148"/>
      <c r="BP47" s="148"/>
    </row>
    <row r="48" spans="2:68" s="147" customFormat="1" ht="9.75" customHeight="1">
      <c r="B48" s="14"/>
      <c r="C48" s="22"/>
      <c r="D48" s="22"/>
      <c r="E48" s="22"/>
      <c r="F48" s="22"/>
      <c r="G48" s="22"/>
      <c r="H48" s="15"/>
      <c r="I48" s="22"/>
      <c r="J48" s="22"/>
      <c r="K48" s="23"/>
      <c r="L48" s="22"/>
      <c r="M48" s="22"/>
      <c r="N48" s="11"/>
      <c r="O48" s="152"/>
      <c r="P48" s="14"/>
      <c r="Q48" s="22"/>
      <c r="R48" s="22"/>
      <c r="S48" s="22"/>
      <c r="T48" s="22"/>
      <c r="U48" s="22"/>
      <c r="V48" s="15"/>
      <c r="W48" s="22"/>
      <c r="X48" s="22"/>
      <c r="Y48" s="23"/>
      <c r="Z48" s="22"/>
      <c r="AA48" s="22"/>
      <c r="AB48" s="11"/>
      <c r="AC48" s="152"/>
      <c r="AD48" s="14"/>
      <c r="AE48" s="22"/>
      <c r="AF48" s="22"/>
      <c r="AG48" s="22"/>
      <c r="AH48" s="22"/>
      <c r="AI48" s="22"/>
      <c r="AJ48" s="15"/>
      <c r="AK48" s="22"/>
      <c r="AL48" s="22"/>
      <c r="AM48" s="23"/>
      <c r="AN48" s="22"/>
      <c r="AO48" s="22"/>
      <c r="AP48" s="11"/>
      <c r="AQ48" s="149"/>
      <c r="BH48" s="148"/>
      <c r="BI48" s="148"/>
      <c r="BJ48" s="148"/>
      <c r="BK48" s="148"/>
      <c r="BL48" s="148"/>
      <c r="BM48" s="148"/>
      <c r="BO48" s="148"/>
      <c r="BP48" s="148"/>
    </row>
    <row r="49" spans="2:68" s="147" customFormat="1" ht="18" customHeight="1">
      <c r="B49" s="14"/>
      <c r="C49" s="659" t="s">
        <v>88</v>
      </c>
      <c r="D49" s="660"/>
      <c r="E49" s="660"/>
      <c r="F49" s="660"/>
      <c r="G49" s="661"/>
      <c r="H49" s="15"/>
      <c r="I49" s="22"/>
      <c r="J49" s="22"/>
      <c r="K49" s="23"/>
      <c r="L49" s="22"/>
      <c r="M49" s="22"/>
      <c r="N49" s="11"/>
      <c r="O49" s="152"/>
      <c r="P49" s="14"/>
      <c r="Q49" s="659" t="s">
        <v>88</v>
      </c>
      <c r="R49" s="660"/>
      <c r="S49" s="660"/>
      <c r="T49" s="660"/>
      <c r="U49" s="661"/>
      <c r="V49" s="15"/>
      <c r="W49" s="22"/>
      <c r="X49" s="22"/>
      <c r="Y49" s="23"/>
      <c r="Z49" s="22"/>
      <c r="AA49" s="22"/>
      <c r="AB49" s="11"/>
      <c r="AC49" s="152"/>
      <c r="AD49" s="14"/>
      <c r="AE49" s="659" t="s">
        <v>88</v>
      </c>
      <c r="AF49" s="660"/>
      <c r="AG49" s="660"/>
      <c r="AH49" s="660"/>
      <c r="AI49" s="661"/>
      <c r="AJ49" s="15"/>
      <c r="AK49" s="22"/>
      <c r="AL49" s="22"/>
      <c r="AM49" s="23"/>
      <c r="AN49" s="22"/>
      <c r="AO49" s="22"/>
      <c r="AP49" s="11"/>
      <c r="AQ49" s="149"/>
      <c r="AY49" s="152"/>
      <c r="BH49" s="148"/>
      <c r="BI49" s="148"/>
      <c r="BJ49" s="148"/>
      <c r="BK49" s="148"/>
      <c r="BL49" s="148"/>
      <c r="BM49" s="148"/>
      <c r="BO49" s="148"/>
      <c r="BP49" s="148"/>
    </row>
    <row r="50" spans="2:68" s="147" customFormat="1" ht="18" customHeight="1">
      <c r="B50" s="14"/>
      <c r="C50" s="248"/>
      <c r="D50" s="121"/>
      <c r="E50" s="248" t="s">
        <v>46</v>
      </c>
      <c r="F50" s="249"/>
      <c r="G50" s="132"/>
      <c r="H50" s="15"/>
      <c r="I50" s="22"/>
      <c r="J50" s="22"/>
      <c r="K50" s="23"/>
      <c r="L50" s="22"/>
      <c r="M50" s="22"/>
      <c r="N50" s="11"/>
      <c r="O50" s="152"/>
      <c r="P50" s="14"/>
      <c r="Q50" s="248"/>
      <c r="R50" s="121"/>
      <c r="S50" s="248" t="s">
        <v>46</v>
      </c>
      <c r="T50" s="249"/>
      <c r="U50" s="132"/>
      <c r="V50" s="15"/>
      <c r="W50" s="22"/>
      <c r="X50" s="22"/>
      <c r="Y50" s="23"/>
      <c r="Z50" s="22"/>
      <c r="AA50" s="22"/>
      <c r="AB50" s="11"/>
      <c r="AC50" s="152"/>
      <c r="AD50" s="14"/>
      <c r="AE50" s="248"/>
      <c r="AF50" s="121"/>
      <c r="AG50" s="248" t="s">
        <v>46</v>
      </c>
      <c r="AH50" s="249"/>
      <c r="AI50" s="132"/>
      <c r="AJ50" s="15"/>
      <c r="AK50" s="22"/>
      <c r="AL50" s="22"/>
      <c r="AM50" s="23"/>
      <c r="AN50" s="22"/>
      <c r="AO50" s="22"/>
      <c r="AP50" s="11"/>
      <c r="AQ50" s="149"/>
      <c r="BH50" s="148"/>
      <c r="BI50" s="148"/>
      <c r="BJ50" s="148"/>
      <c r="BK50" s="148"/>
      <c r="BL50" s="148"/>
      <c r="BM50" s="148"/>
      <c r="BO50" s="148"/>
      <c r="BP50" s="148"/>
    </row>
    <row r="51" spans="2:68" s="147" customFormat="1" ht="18" customHeight="1">
      <c r="B51" s="14"/>
      <c r="C51" s="250" t="s">
        <v>99</v>
      </c>
      <c r="D51" s="256"/>
      <c r="E51" s="257"/>
      <c r="F51" s="252">
        <v>6.94969</v>
      </c>
      <c r="G51" s="238">
        <f>F51*2000/'Calculations production'!$F$11</f>
        <v>0.03502603129803695</v>
      </c>
      <c r="H51" s="15"/>
      <c r="I51" s="22"/>
      <c r="J51" s="22"/>
      <c r="K51" s="23"/>
      <c r="L51" s="22"/>
      <c r="M51" s="22"/>
      <c r="N51" s="11"/>
      <c r="O51" s="152"/>
      <c r="P51" s="14"/>
      <c r="Q51" s="250" t="s">
        <v>99</v>
      </c>
      <c r="R51" s="256"/>
      <c r="S51" s="257"/>
      <c r="T51" s="252">
        <v>5.95001</v>
      </c>
      <c r="U51" s="238">
        <f>T51*2000/'Calculations production'!$T$11</f>
        <v>0.03395000513528627</v>
      </c>
      <c r="V51" s="15"/>
      <c r="W51" s="22"/>
      <c r="X51" s="22"/>
      <c r="Y51" s="23"/>
      <c r="Z51" s="22"/>
      <c r="AA51" s="22"/>
      <c r="AB51" s="11"/>
      <c r="AC51" s="152"/>
      <c r="AD51" s="14"/>
      <c r="AE51" s="250" t="s">
        <v>99</v>
      </c>
      <c r="AF51" s="256"/>
      <c r="AG51" s="257"/>
      <c r="AH51" s="252">
        <f>F51+T51</f>
        <v>12.8997</v>
      </c>
      <c r="AI51" s="238"/>
      <c r="AJ51" s="15"/>
      <c r="AK51" s="22"/>
      <c r="AL51" s="22"/>
      <c r="AM51" s="23"/>
      <c r="AN51" s="22"/>
      <c r="AO51" s="22"/>
      <c r="AP51" s="11"/>
      <c r="AQ51" s="149"/>
      <c r="BH51" s="148"/>
      <c r="BI51" s="148"/>
      <c r="BJ51" s="148"/>
      <c r="BK51" s="148"/>
      <c r="BL51" s="148"/>
      <c r="BM51" s="148"/>
      <c r="BO51" s="148"/>
      <c r="BP51" s="148"/>
    </row>
    <row r="52" spans="2:68" s="147" customFormat="1" ht="18" customHeight="1">
      <c r="B52" s="14"/>
      <c r="C52" s="246" t="s">
        <v>32</v>
      </c>
      <c r="D52" s="258"/>
      <c r="E52" s="259"/>
      <c r="F52" s="253">
        <v>4.41938</v>
      </c>
      <c r="G52" s="239">
        <f>F52*2000/'Calculations production'!$L$11</f>
        <v>0.0350259363025017</v>
      </c>
      <c r="H52" s="15"/>
      <c r="I52" s="22"/>
      <c r="J52" s="22"/>
      <c r="K52" s="23"/>
      <c r="L52" s="22"/>
      <c r="M52" s="22"/>
      <c r="N52" s="11"/>
      <c r="O52" s="152"/>
      <c r="P52" s="14"/>
      <c r="Q52" s="246" t="s">
        <v>32</v>
      </c>
      <c r="R52" s="258"/>
      <c r="S52" s="259"/>
      <c r="T52" s="253">
        <v>7.0296</v>
      </c>
      <c r="U52" s="239">
        <f>T52*2000/'Calculations production'!$Z$11</f>
        <v>0.03399999032662162</v>
      </c>
      <c r="V52" s="15"/>
      <c r="W52" s="22"/>
      <c r="X52" s="22"/>
      <c r="Y52" s="23"/>
      <c r="Z52" s="22"/>
      <c r="AA52" s="22"/>
      <c r="AB52" s="11"/>
      <c r="AC52" s="152"/>
      <c r="AD52" s="14"/>
      <c r="AE52" s="246" t="s">
        <v>32</v>
      </c>
      <c r="AF52" s="258"/>
      <c r="AG52" s="259"/>
      <c r="AH52" s="253">
        <f>F52+T52</f>
        <v>11.44898</v>
      </c>
      <c r="AI52" s="239"/>
      <c r="AJ52" s="15"/>
      <c r="AK52" s="22"/>
      <c r="AL52" s="22"/>
      <c r="AM52" s="23"/>
      <c r="AN52" s="22"/>
      <c r="AO52" s="22"/>
      <c r="AP52" s="11"/>
      <c r="AQ52" s="149"/>
      <c r="AR52" s="148"/>
      <c r="AS52" s="148"/>
      <c r="AT52" s="148"/>
      <c r="AU52" s="148"/>
      <c r="AV52" s="148"/>
      <c r="AW52" s="148"/>
      <c r="AX52" s="148"/>
      <c r="BH52" s="148"/>
      <c r="BI52" s="148"/>
      <c r="BJ52" s="148"/>
      <c r="BK52" s="148"/>
      <c r="BL52" s="148"/>
      <c r="BM52" s="148"/>
      <c r="BO52" s="148"/>
      <c r="BP52" s="148"/>
    </row>
    <row r="53" spans="2:68" s="147" customFormat="1" ht="18" customHeight="1">
      <c r="B53" s="14"/>
      <c r="C53" s="246" t="s">
        <v>25</v>
      </c>
      <c r="D53" s="258"/>
      <c r="E53" s="259"/>
      <c r="F53" s="253">
        <v>2.55222</v>
      </c>
      <c r="G53" s="239">
        <f>F53*2000/'Calculations production'!$F$19</f>
        <v>0.035523975224441506</v>
      </c>
      <c r="H53" s="15"/>
      <c r="I53" s="22"/>
      <c r="J53" s="22"/>
      <c r="K53" s="23"/>
      <c r="L53" s="22"/>
      <c r="M53" s="22"/>
      <c r="N53" s="11"/>
      <c r="O53" s="152"/>
      <c r="P53" s="14"/>
      <c r="Q53" s="246" t="s">
        <v>25</v>
      </c>
      <c r="R53" s="258"/>
      <c r="S53" s="259"/>
      <c r="T53" s="253">
        <v>6.20006</v>
      </c>
      <c r="U53" s="239">
        <f>T53*2000/'Calculations production'!$T$19</f>
        <v>0.03140002228367113</v>
      </c>
      <c r="V53" s="15"/>
      <c r="W53" s="22"/>
      <c r="X53" s="22"/>
      <c r="Y53" s="23"/>
      <c r="Z53" s="22"/>
      <c r="AA53" s="22"/>
      <c r="AB53" s="11"/>
      <c r="AC53" s="152"/>
      <c r="AD53" s="14"/>
      <c r="AE53" s="246" t="s">
        <v>25</v>
      </c>
      <c r="AF53" s="258"/>
      <c r="AG53" s="259"/>
      <c r="AH53" s="253">
        <f>F53+T53</f>
        <v>8.752279999999999</v>
      </c>
      <c r="AI53" s="239"/>
      <c r="AJ53" s="15"/>
      <c r="AK53" s="22"/>
      <c r="AL53" s="22"/>
      <c r="AM53" s="23"/>
      <c r="AN53" s="22"/>
      <c r="AO53" s="22"/>
      <c r="AP53" s="11"/>
      <c r="AQ53" s="149"/>
      <c r="AR53" s="148"/>
      <c r="AS53" s="148"/>
      <c r="AT53" s="148"/>
      <c r="AU53" s="148"/>
      <c r="AV53" s="148"/>
      <c r="AW53" s="148"/>
      <c r="AX53" s="148"/>
      <c r="BH53" s="148"/>
      <c r="BI53" s="148"/>
      <c r="BJ53" s="148"/>
      <c r="BK53" s="148"/>
      <c r="BL53" s="148"/>
      <c r="BM53" s="148"/>
      <c r="BO53" s="148"/>
      <c r="BP53" s="148"/>
    </row>
    <row r="54" spans="2:73" s="147" customFormat="1" ht="18" customHeight="1">
      <c r="B54" s="14"/>
      <c r="C54" s="246" t="s">
        <v>22</v>
      </c>
      <c r="D54" s="260"/>
      <c r="E54" s="259"/>
      <c r="F54" s="253">
        <v>8.72126</v>
      </c>
      <c r="G54" s="239">
        <f>F54*2000/'Calculations production'!$L$19</f>
        <v>0.04264768662391103</v>
      </c>
      <c r="H54" s="15"/>
      <c r="I54" s="22"/>
      <c r="J54" s="22"/>
      <c r="K54" s="23"/>
      <c r="L54" s="22"/>
      <c r="M54" s="22"/>
      <c r="N54" s="11"/>
      <c r="O54" s="152"/>
      <c r="P54" s="14"/>
      <c r="Q54" s="246" t="s">
        <v>22</v>
      </c>
      <c r="R54" s="260"/>
      <c r="S54" s="259"/>
      <c r="T54" s="253">
        <v>14.8215</v>
      </c>
      <c r="U54" s="239">
        <f>T54*2000/'Calculations production'!$Z$19</f>
        <v>0.10368600730345726</v>
      </c>
      <c r="V54" s="15"/>
      <c r="W54" s="22"/>
      <c r="X54" s="22"/>
      <c r="Y54" s="23"/>
      <c r="Z54" s="22"/>
      <c r="AA54" s="22"/>
      <c r="AB54" s="11"/>
      <c r="AC54" s="152"/>
      <c r="AD54" s="14"/>
      <c r="AE54" s="246" t="s">
        <v>22</v>
      </c>
      <c r="AF54" s="260"/>
      <c r="AG54" s="259"/>
      <c r="AH54" s="253">
        <f>F54+T54</f>
        <v>23.54276</v>
      </c>
      <c r="AI54" s="239"/>
      <c r="AJ54" s="15"/>
      <c r="AK54" s="22"/>
      <c r="AL54" s="22"/>
      <c r="AM54" s="23"/>
      <c r="AN54" s="22"/>
      <c r="AO54" s="22"/>
      <c r="AP54" s="11"/>
      <c r="AQ54" s="149"/>
      <c r="AR54" s="148"/>
      <c r="AS54" s="148"/>
      <c r="AT54" s="148"/>
      <c r="AU54" s="148"/>
      <c r="AV54" s="148"/>
      <c r="AW54" s="148"/>
      <c r="AX54" s="148"/>
      <c r="BH54" s="148"/>
      <c r="BI54" s="148"/>
      <c r="BJ54" s="148"/>
      <c r="BK54" s="148"/>
      <c r="BL54" s="148"/>
      <c r="BM54" s="148"/>
      <c r="BN54" s="152"/>
      <c r="BO54" s="148"/>
      <c r="BP54" s="148"/>
      <c r="BQ54" s="152"/>
      <c r="BR54" s="152"/>
      <c r="BS54" s="152"/>
      <c r="BT54" s="152"/>
      <c r="BU54" s="152"/>
    </row>
    <row r="55" spans="1:73" s="152" customFormat="1" ht="18" customHeight="1">
      <c r="A55" s="120"/>
      <c r="B55" s="14"/>
      <c r="C55" s="247" t="s">
        <v>21</v>
      </c>
      <c r="D55" s="261"/>
      <c r="E55" s="262"/>
      <c r="F55" s="263">
        <v>12.8323</v>
      </c>
      <c r="G55" s="240">
        <f>F55*2000/'Calculations production'!$F$27</f>
        <v>0.05632735117956776</v>
      </c>
      <c r="H55" s="15"/>
      <c r="I55" s="22"/>
      <c r="J55" s="22"/>
      <c r="K55" s="23"/>
      <c r="L55" s="22"/>
      <c r="M55" s="22"/>
      <c r="N55" s="11"/>
      <c r="O55" s="120"/>
      <c r="P55" s="14"/>
      <c r="Q55" s="247"/>
      <c r="R55" s="261"/>
      <c r="S55" s="262"/>
      <c r="T55" s="263"/>
      <c r="U55" s="240"/>
      <c r="V55" s="15"/>
      <c r="W55" s="22"/>
      <c r="X55" s="22"/>
      <c r="Y55" s="23"/>
      <c r="Z55" s="22"/>
      <c r="AA55" s="22"/>
      <c r="AB55" s="11"/>
      <c r="AC55" s="120"/>
      <c r="AD55" s="14"/>
      <c r="AE55" s="247" t="s">
        <v>21</v>
      </c>
      <c r="AF55" s="261"/>
      <c r="AG55" s="262"/>
      <c r="AH55" s="263">
        <f>F55+T55</f>
        <v>12.8323</v>
      </c>
      <c r="AI55" s="240"/>
      <c r="AJ55" s="15"/>
      <c r="AK55" s="22"/>
      <c r="AL55" s="22"/>
      <c r="AM55" s="23"/>
      <c r="AN55" s="22"/>
      <c r="AO55" s="22"/>
      <c r="AP55" s="11"/>
      <c r="AQ55" s="148"/>
      <c r="AR55" s="148"/>
      <c r="AS55" s="148"/>
      <c r="AT55" s="148"/>
      <c r="AU55" s="148"/>
      <c r="AV55" s="148"/>
      <c r="AW55" s="148"/>
      <c r="AX55" s="148"/>
      <c r="AY55" s="148"/>
      <c r="AZ55" s="147"/>
      <c r="BA55" s="147"/>
      <c r="BB55" s="147"/>
      <c r="BC55" s="147"/>
      <c r="BD55" s="147"/>
      <c r="BE55" s="147"/>
      <c r="BF55" s="147"/>
      <c r="BH55" s="148"/>
      <c r="BI55" s="148"/>
      <c r="BJ55" s="148"/>
      <c r="BK55" s="148"/>
      <c r="BL55" s="148"/>
      <c r="BM55" s="148"/>
      <c r="BN55" s="147"/>
      <c r="BO55" s="148"/>
      <c r="BP55" s="148"/>
      <c r="BQ55" s="147"/>
      <c r="BR55" s="147"/>
      <c r="BS55" s="147"/>
      <c r="BT55" s="147"/>
      <c r="BU55" s="147"/>
    </row>
    <row r="56" spans="2:68" s="147" customFormat="1" ht="18" customHeight="1">
      <c r="B56" s="14"/>
      <c r="C56" s="22"/>
      <c r="D56" s="22"/>
      <c r="E56" s="22"/>
      <c r="F56" s="681"/>
      <c r="G56" s="685"/>
      <c r="H56" s="15"/>
      <c r="I56" s="22"/>
      <c r="J56" s="22"/>
      <c r="K56" s="23"/>
      <c r="L56" s="22"/>
      <c r="M56" s="22"/>
      <c r="N56" s="11"/>
      <c r="O56" s="152"/>
      <c r="P56" s="14"/>
      <c r="Q56" s="22"/>
      <c r="R56" s="22"/>
      <c r="S56" s="22"/>
      <c r="T56" s="681"/>
      <c r="U56" s="685"/>
      <c r="V56" s="15"/>
      <c r="W56" s="22"/>
      <c r="X56" s="22"/>
      <c r="Y56" s="23"/>
      <c r="Z56" s="22"/>
      <c r="AA56" s="22"/>
      <c r="AB56" s="11"/>
      <c r="AC56" s="152"/>
      <c r="AD56" s="14"/>
      <c r="AE56" s="22"/>
      <c r="AF56" s="22"/>
      <c r="AG56" s="22"/>
      <c r="AH56" s="681"/>
      <c r="AI56" s="685"/>
      <c r="AJ56" s="15"/>
      <c r="AK56" s="22"/>
      <c r="AL56" s="22"/>
      <c r="AM56" s="23"/>
      <c r="AN56" s="22"/>
      <c r="AO56" s="22"/>
      <c r="AP56" s="11"/>
      <c r="AQ56" s="148"/>
      <c r="AR56" s="148"/>
      <c r="AS56" s="148"/>
      <c r="AT56" s="148"/>
      <c r="AU56" s="148"/>
      <c r="AV56" s="148"/>
      <c r="AW56" s="148"/>
      <c r="AX56" s="148"/>
      <c r="AY56" s="148"/>
      <c r="BH56" s="148"/>
      <c r="BI56" s="148"/>
      <c r="BJ56" s="148"/>
      <c r="BK56" s="148"/>
      <c r="BL56" s="148"/>
      <c r="BM56" s="148"/>
      <c r="BO56" s="148"/>
      <c r="BP56" s="148"/>
    </row>
    <row r="57" spans="2:68" s="147" customFormat="1" ht="18" customHeight="1">
      <c r="B57" s="14"/>
      <c r="C57" s="22"/>
      <c r="D57" s="22"/>
      <c r="E57" s="22"/>
      <c r="F57" s="682"/>
      <c r="G57" s="686"/>
      <c r="H57" s="15"/>
      <c r="I57" s="22"/>
      <c r="J57" s="22"/>
      <c r="K57" s="23"/>
      <c r="L57" s="22"/>
      <c r="M57" s="22"/>
      <c r="N57" s="11"/>
      <c r="O57" s="152"/>
      <c r="P57" s="14"/>
      <c r="Q57" s="22"/>
      <c r="R57" s="22"/>
      <c r="S57" s="22"/>
      <c r="T57" s="682"/>
      <c r="U57" s="686"/>
      <c r="V57" s="15"/>
      <c r="W57" s="22"/>
      <c r="X57" s="22"/>
      <c r="Y57" s="23"/>
      <c r="Z57" s="22"/>
      <c r="AA57" s="22"/>
      <c r="AB57" s="11"/>
      <c r="AC57" s="152"/>
      <c r="AD57" s="14"/>
      <c r="AE57" s="22"/>
      <c r="AF57" s="22"/>
      <c r="AG57" s="22"/>
      <c r="AH57" s="682"/>
      <c r="AI57" s="686"/>
      <c r="AJ57" s="15"/>
      <c r="AK57" s="22"/>
      <c r="AL57" s="22"/>
      <c r="AM57" s="23"/>
      <c r="AN57" s="22"/>
      <c r="AO57" s="22"/>
      <c r="AP57" s="11"/>
      <c r="AQ57" s="148"/>
      <c r="AR57" s="148"/>
      <c r="AS57" s="148"/>
      <c r="AT57" s="148"/>
      <c r="AU57" s="148"/>
      <c r="AV57" s="148"/>
      <c r="AW57" s="148"/>
      <c r="AX57" s="148"/>
      <c r="AY57" s="148"/>
      <c r="BH57" s="148"/>
      <c r="BI57" s="148"/>
      <c r="BJ57" s="148"/>
      <c r="BK57" s="148"/>
      <c r="BL57" s="148"/>
      <c r="BM57" s="148"/>
      <c r="BO57" s="148"/>
      <c r="BP57" s="148"/>
    </row>
    <row r="58" spans="2:68" s="147" customFormat="1" ht="18" customHeight="1">
      <c r="B58" s="14"/>
      <c r="C58" s="116" t="s">
        <v>147</v>
      </c>
      <c r="D58" s="22"/>
      <c r="E58" s="22"/>
      <c r="F58" s="22"/>
      <c r="G58" s="22"/>
      <c r="H58" s="15"/>
      <c r="I58" s="22"/>
      <c r="J58" s="23"/>
      <c r="K58" s="22"/>
      <c r="L58" s="22"/>
      <c r="M58" s="22"/>
      <c r="N58" s="11"/>
      <c r="O58" s="152"/>
      <c r="P58" s="14"/>
      <c r="Q58" s="116" t="s">
        <v>105</v>
      </c>
      <c r="R58" s="22"/>
      <c r="S58" s="22"/>
      <c r="T58" s="22"/>
      <c r="U58" s="22"/>
      <c r="V58" s="15"/>
      <c r="W58" s="22"/>
      <c r="X58" s="23"/>
      <c r="Y58" s="22"/>
      <c r="Z58" s="22"/>
      <c r="AA58" s="22"/>
      <c r="AB58" s="11"/>
      <c r="AC58" s="152"/>
      <c r="AD58" s="14"/>
      <c r="AE58" s="116" t="s">
        <v>105</v>
      </c>
      <c r="AF58" s="22"/>
      <c r="AG58" s="22"/>
      <c r="AH58" s="22"/>
      <c r="AI58" s="22"/>
      <c r="AJ58" s="15"/>
      <c r="AK58" s="22"/>
      <c r="AL58" s="23"/>
      <c r="AM58" s="22"/>
      <c r="AN58" s="22"/>
      <c r="AO58" s="22"/>
      <c r="AP58" s="11"/>
      <c r="AQ58" s="148"/>
      <c r="AR58" s="148"/>
      <c r="AS58" s="148"/>
      <c r="AT58" s="148"/>
      <c r="AU58" s="148"/>
      <c r="AV58" s="148"/>
      <c r="AW58" s="148"/>
      <c r="AX58" s="148"/>
      <c r="AY58" s="148"/>
      <c r="BH58" s="148"/>
      <c r="BI58" s="148"/>
      <c r="BJ58" s="148"/>
      <c r="BK58" s="148"/>
      <c r="BL58" s="148"/>
      <c r="BM58" s="148"/>
      <c r="BO58" s="148"/>
      <c r="BP58" s="148"/>
    </row>
    <row r="59" spans="2:68" s="147" customFormat="1" ht="9.75" customHeight="1">
      <c r="B59" s="14"/>
      <c r="C59" s="116"/>
      <c r="D59" s="23"/>
      <c r="E59" s="22"/>
      <c r="F59" s="22"/>
      <c r="G59" s="22"/>
      <c r="H59" s="15"/>
      <c r="I59" s="22"/>
      <c r="J59" s="22"/>
      <c r="K59" s="23"/>
      <c r="L59" s="22" t="s">
        <v>89</v>
      </c>
      <c r="M59" s="22"/>
      <c r="N59" s="11"/>
      <c r="O59" s="152"/>
      <c r="P59" s="14"/>
      <c r="Q59" s="116"/>
      <c r="R59" s="23"/>
      <c r="S59" s="22"/>
      <c r="T59" s="22"/>
      <c r="U59" s="22"/>
      <c r="V59" s="15"/>
      <c r="W59" s="22"/>
      <c r="X59" s="22"/>
      <c r="Y59" s="23"/>
      <c r="Z59" s="22" t="s">
        <v>89</v>
      </c>
      <c r="AA59" s="22"/>
      <c r="AB59" s="11"/>
      <c r="AC59" s="152"/>
      <c r="AD59" s="14"/>
      <c r="AE59" s="116"/>
      <c r="AF59" s="23"/>
      <c r="AG59" s="22"/>
      <c r="AH59" s="22"/>
      <c r="AI59" s="22"/>
      <c r="AJ59" s="15"/>
      <c r="AK59" s="22"/>
      <c r="AL59" s="22"/>
      <c r="AM59" s="23"/>
      <c r="AN59" s="22" t="s">
        <v>89</v>
      </c>
      <c r="AO59" s="22"/>
      <c r="AP59" s="11"/>
      <c r="AQ59" s="148"/>
      <c r="AR59" s="148"/>
      <c r="AS59" s="148"/>
      <c r="AT59" s="148"/>
      <c r="AU59" s="148"/>
      <c r="AV59" s="148"/>
      <c r="AW59" s="148"/>
      <c r="AX59" s="148"/>
      <c r="AY59" s="148"/>
      <c r="AZ59" s="152"/>
      <c r="BA59" s="152"/>
      <c r="BB59" s="152"/>
      <c r="BC59" s="152"/>
      <c r="BD59" s="152"/>
      <c r="BE59" s="152"/>
      <c r="BF59" s="152"/>
      <c r="BH59" s="148"/>
      <c r="BI59" s="148"/>
      <c r="BJ59" s="148"/>
      <c r="BK59" s="148"/>
      <c r="BL59" s="148"/>
      <c r="BM59" s="148"/>
      <c r="BO59" s="148"/>
      <c r="BP59" s="148"/>
    </row>
    <row r="60" spans="2:68" s="397" customFormat="1" ht="18" customHeight="1">
      <c r="B60" s="398"/>
      <c r="C60" s="687" t="s">
        <v>160</v>
      </c>
      <c r="D60" s="688"/>
      <c r="E60" s="688"/>
      <c r="F60" s="688"/>
      <c r="G60" s="689"/>
      <c r="H60" s="355"/>
      <c r="I60" s="687" t="s">
        <v>65</v>
      </c>
      <c r="J60" s="688"/>
      <c r="K60" s="688"/>
      <c r="L60" s="688"/>
      <c r="M60" s="689"/>
      <c r="N60" s="399"/>
      <c r="O60" s="400"/>
      <c r="P60" s="398"/>
      <c r="Q60" s="667" t="s">
        <v>160</v>
      </c>
      <c r="R60" s="668"/>
      <c r="S60" s="668"/>
      <c r="T60" s="668"/>
      <c r="U60" s="669"/>
      <c r="V60" s="355"/>
      <c r="W60" s="667" t="s">
        <v>65</v>
      </c>
      <c r="X60" s="668"/>
      <c r="Y60" s="668"/>
      <c r="Z60" s="668"/>
      <c r="AA60" s="669"/>
      <c r="AB60" s="399"/>
      <c r="AC60" s="400"/>
      <c r="AD60" s="398"/>
      <c r="AE60" s="667" t="s">
        <v>160</v>
      </c>
      <c r="AF60" s="668"/>
      <c r="AG60" s="668"/>
      <c r="AH60" s="668"/>
      <c r="AI60" s="669"/>
      <c r="AJ60" s="355"/>
      <c r="AK60" s="667" t="s">
        <v>65</v>
      </c>
      <c r="AL60" s="668"/>
      <c r="AM60" s="668"/>
      <c r="AN60" s="668"/>
      <c r="AO60" s="669"/>
      <c r="AP60" s="399"/>
      <c r="AQ60" s="401"/>
      <c r="AR60" s="401"/>
      <c r="AS60" s="401"/>
      <c r="AT60" s="401"/>
      <c r="AU60" s="401"/>
      <c r="AV60" s="401"/>
      <c r="AW60" s="401"/>
      <c r="AX60" s="401"/>
      <c r="AY60" s="401"/>
      <c r="BH60" s="401"/>
      <c r="BI60" s="401"/>
      <c r="BJ60" s="401"/>
      <c r="BK60" s="401"/>
      <c r="BL60" s="401"/>
      <c r="BM60" s="401"/>
      <c r="BO60" s="401"/>
      <c r="BP60" s="401"/>
    </row>
    <row r="61" spans="2:68" s="397" customFormat="1" ht="18" customHeight="1">
      <c r="B61" s="398"/>
      <c r="C61" s="356"/>
      <c r="D61" s="357"/>
      <c r="E61" s="356" t="s">
        <v>46</v>
      </c>
      <c r="F61" s="358"/>
      <c r="G61" s="359"/>
      <c r="H61" s="355"/>
      <c r="I61" s="356"/>
      <c r="J61" s="357"/>
      <c r="K61" s="356" t="s">
        <v>46</v>
      </c>
      <c r="L61" s="358"/>
      <c r="M61" s="359"/>
      <c r="N61" s="399"/>
      <c r="O61" s="400"/>
      <c r="P61" s="398"/>
      <c r="Q61" s="402"/>
      <c r="R61" s="373"/>
      <c r="S61" s="402" t="s">
        <v>46</v>
      </c>
      <c r="T61" s="403"/>
      <c r="U61" s="359"/>
      <c r="V61" s="355"/>
      <c r="W61" s="402"/>
      <c r="X61" s="373"/>
      <c r="Y61" s="402" t="s">
        <v>46</v>
      </c>
      <c r="Z61" s="403"/>
      <c r="AA61" s="359"/>
      <c r="AB61" s="399"/>
      <c r="AC61" s="400"/>
      <c r="AD61" s="398"/>
      <c r="AE61" s="402"/>
      <c r="AF61" s="373"/>
      <c r="AG61" s="402" t="s">
        <v>46</v>
      </c>
      <c r="AH61" s="403"/>
      <c r="AI61" s="404"/>
      <c r="AJ61" s="355"/>
      <c r="AK61" s="402"/>
      <c r="AL61" s="373"/>
      <c r="AM61" s="402" t="s">
        <v>46</v>
      </c>
      <c r="AN61" s="403"/>
      <c r="AO61" s="359"/>
      <c r="AP61" s="399"/>
      <c r="AQ61" s="405"/>
      <c r="AR61" s="401"/>
      <c r="AS61" s="401"/>
      <c r="AT61" s="401"/>
      <c r="AU61" s="401"/>
      <c r="AV61" s="401"/>
      <c r="AW61" s="401"/>
      <c r="AX61" s="401"/>
      <c r="AY61" s="401"/>
      <c r="BH61" s="401"/>
      <c r="BI61" s="401"/>
      <c r="BJ61" s="401"/>
      <c r="BK61" s="401"/>
      <c r="BL61" s="401"/>
      <c r="BM61" s="401"/>
      <c r="BO61" s="401"/>
      <c r="BP61" s="401"/>
    </row>
    <row r="62" spans="2:68" s="397" customFormat="1" ht="18" customHeight="1">
      <c r="B62" s="398"/>
      <c r="C62" s="360" t="s">
        <v>99</v>
      </c>
      <c r="D62" s="361"/>
      <c r="E62" s="346"/>
      <c r="F62" s="362">
        <f>G62</f>
        <v>388361.60000000003</v>
      </c>
      <c r="G62" s="363">
        <f>353056*1.1</f>
        <v>388361.60000000003</v>
      </c>
      <c r="H62" s="355"/>
      <c r="I62" s="364" t="s">
        <v>99</v>
      </c>
      <c r="J62" s="361"/>
      <c r="K62" s="346"/>
      <c r="L62" s="365"/>
      <c r="M62" s="363">
        <f>G62+G70+M70</f>
        <v>389406.41300000006</v>
      </c>
      <c r="N62" s="399"/>
      <c r="O62" s="400"/>
      <c r="P62" s="398"/>
      <c r="Q62" s="360" t="s">
        <v>99</v>
      </c>
      <c r="R62" s="361"/>
      <c r="S62" s="346"/>
      <c r="T62" s="362">
        <f>U62</f>
        <v>309607.10000000003</v>
      </c>
      <c r="U62" s="363">
        <f>281461*1.1</f>
        <v>309607.10000000003</v>
      </c>
      <c r="V62" s="355"/>
      <c r="W62" s="360" t="s">
        <v>99</v>
      </c>
      <c r="X62" s="361"/>
      <c r="Y62" s="346"/>
      <c r="Z62" s="365"/>
      <c r="AA62" s="363">
        <f>U62+U70+AA70</f>
        <v>310506.37200000003</v>
      </c>
      <c r="AB62" s="399"/>
      <c r="AC62" s="400"/>
      <c r="AD62" s="398"/>
      <c r="AE62" s="360" t="s">
        <v>99</v>
      </c>
      <c r="AF62" s="361"/>
      <c r="AG62" s="346"/>
      <c r="AH62" s="362"/>
      <c r="AI62" s="406">
        <f>AA62+U62</f>
        <v>620113.4720000001</v>
      </c>
      <c r="AJ62" s="355"/>
      <c r="AK62" s="360" t="s">
        <v>99</v>
      </c>
      <c r="AL62" s="361"/>
      <c r="AM62" s="346"/>
      <c r="AN62" s="365"/>
      <c r="AO62" s="406">
        <f>AI62+AI70+AO70</f>
        <v>621581.763</v>
      </c>
      <c r="AP62" s="399"/>
      <c r="AQ62" s="405"/>
      <c r="AR62" s="401"/>
      <c r="AS62" s="401"/>
      <c r="AT62" s="401"/>
      <c r="AU62" s="401"/>
      <c r="AV62" s="401"/>
      <c r="AW62" s="401"/>
      <c r="AX62" s="401"/>
      <c r="AY62" s="401"/>
      <c r="BH62" s="401"/>
      <c r="BI62" s="401"/>
      <c r="BJ62" s="401"/>
      <c r="BK62" s="401"/>
      <c r="BL62" s="401"/>
      <c r="BM62" s="401"/>
      <c r="BO62" s="401"/>
      <c r="BP62" s="401"/>
    </row>
    <row r="63" spans="2:68" s="397" customFormat="1" ht="18" customHeight="1">
      <c r="B63" s="398"/>
      <c r="C63" s="366" t="s">
        <v>32</v>
      </c>
      <c r="D63" s="367"/>
      <c r="E63" s="368"/>
      <c r="F63" s="369">
        <f>G63</f>
        <v>271575.7</v>
      </c>
      <c r="G63" s="370">
        <f>246887*1.1</f>
        <v>271575.7</v>
      </c>
      <c r="H63" s="355"/>
      <c r="I63" s="371" t="s">
        <v>32</v>
      </c>
      <c r="J63" s="367"/>
      <c r="K63" s="368"/>
      <c r="L63" s="372"/>
      <c r="M63" s="370">
        <f>G63+G71+M71</f>
        <v>272071.34900000005</v>
      </c>
      <c r="N63" s="399"/>
      <c r="O63" s="400"/>
      <c r="P63" s="398"/>
      <c r="Q63" s="366" t="s">
        <v>32</v>
      </c>
      <c r="R63" s="367"/>
      <c r="S63" s="368"/>
      <c r="T63" s="369">
        <f>U63</f>
        <v>368313.00000000006</v>
      </c>
      <c r="U63" s="370">
        <f>334830*1.1</f>
        <v>368313.00000000006</v>
      </c>
      <c r="V63" s="355"/>
      <c r="W63" s="366" t="s">
        <v>32</v>
      </c>
      <c r="X63" s="367"/>
      <c r="Y63" s="368"/>
      <c r="Z63" s="372"/>
      <c r="AA63" s="370">
        <f>U63+U71+AA71</f>
        <v>369371.0790000001</v>
      </c>
      <c r="AB63" s="399"/>
      <c r="AC63" s="400"/>
      <c r="AD63" s="398"/>
      <c r="AE63" s="366" t="s">
        <v>32</v>
      </c>
      <c r="AF63" s="367"/>
      <c r="AG63" s="368"/>
      <c r="AH63" s="369"/>
      <c r="AI63" s="407">
        <f>AA63+U63</f>
        <v>737684.0790000001</v>
      </c>
      <c r="AJ63" s="355"/>
      <c r="AK63" s="366" t="s">
        <v>32</v>
      </c>
      <c r="AL63" s="367"/>
      <c r="AM63" s="368"/>
      <c r="AN63" s="372"/>
      <c r="AO63" s="407">
        <f>AI63+AI71+AO71</f>
        <v>739462.1630000002</v>
      </c>
      <c r="AP63" s="399"/>
      <c r="AQ63" s="405"/>
      <c r="AR63" s="401"/>
      <c r="AS63" s="401"/>
      <c r="AT63" s="401"/>
      <c r="AU63" s="401"/>
      <c r="AV63" s="401"/>
      <c r="AW63" s="401"/>
      <c r="AX63" s="401"/>
      <c r="AY63" s="401"/>
      <c r="BH63" s="401"/>
      <c r="BI63" s="401"/>
      <c r="BJ63" s="401"/>
      <c r="BK63" s="401"/>
      <c r="BL63" s="401"/>
      <c r="BM63" s="401"/>
      <c r="BO63" s="401"/>
      <c r="BP63" s="401"/>
    </row>
    <row r="64" spans="2:68" s="397" customFormat="1" ht="18" customHeight="1">
      <c r="B64" s="398"/>
      <c r="C64" s="366" t="s">
        <v>25</v>
      </c>
      <c r="D64" s="367"/>
      <c r="E64" s="368"/>
      <c r="F64" s="369"/>
      <c r="G64" s="370">
        <f>F64</f>
        <v>0</v>
      </c>
      <c r="H64" s="355"/>
      <c r="I64" s="371" t="s">
        <v>25</v>
      </c>
      <c r="J64" s="367"/>
      <c r="K64" s="368"/>
      <c r="L64" s="372"/>
      <c r="M64" s="370">
        <f>G64+G72+M72</f>
        <v>0</v>
      </c>
      <c r="N64" s="399"/>
      <c r="O64" s="400"/>
      <c r="P64" s="398"/>
      <c r="Q64" s="366" t="s">
        <v>25</v>
      </c>
      <c r="R64" s="367"/>
      <c r="S64" s="368"/>
      <c r="T64" s="369"/>
      <c r="U64" s="370">
        <f>T64</f>
        <v>0</v>
      </c>
      <c r="V64" s="355"/>
      <c r="W64" s="366" t="s">
        <v>25</v>
      </c>
      <c r="X64" s="367"/>
      <c r="Y64" s="368"/>
      <c r="Z64" s="372"/>
      <c r="AA64" s="370">
        <f>U64+U72+AA72</f>
        <v>0</v>
      </c>
      <c r="AB64" s="399"/>
      <c r="AC64" s="400"/>
      <c r="AD64" s="398"/>
      <c r="AE64" s="366" t="s">
        <v>25</v>
      </c>
      <c r="AF64" s="367"/>
      <c r="AG64" s="368"/>
      <c r="AH64" s="369"/>
      <c r="AI64" s="407">
        <f>AA64+U64</f>
        <v>0</v>
      </c>
      <c r="AJ64" s="355"/>
      <c r="AK64" s="366" t="s">
        <v>25</v>
      </c>
      <c r="AL64" s="367"/>
      <c r="AM64" s="368"/>
      <c r="AN64" s="372"/>
      <c r="AO64" s="407">
        <f>AI64+AI72+AO72</f>
        <v>0</v>
      </c>
      <c r="AP64" s="399"/>
      <c r="AQ64" s="405"/>
      <c r="AR64" s="401"/>
      <c r="AS64" s="401"/>
      <c r="AT64" s="401"/>
      <c r="AU64" s="401"/>
      <c r="AV64" s="401"/>
      <c r="AW64" s="401"/>
      <c r="AX64" s="401"/>
      <c r="AY64" s="401"/>
      <c r="BH64" s="401"/>
      <c r="BI64" s="401"/>
      <c r="BJ64" s="401"/>
      <c r="BK64" s="401"/>
      <c r="BL64" s="401"/>
      <c r="BM64" s="401"/>
      <c r="BO64" s="401"/>
      <c r="BP64" s="401"/>
    </row>
    <row r="65" spans="2:73" s="397" customFormat="1" ht="18" customHeight="1">
      <c r="B65" s="398"/>
      <c r="C65" s="366" t="s">
        <v>22</v>
      </c>
      <c r="D65" s="373"/>
      <c r="E65" s="368"/>
      <c r="F65" s="369"/>
      <c r="G65" s="370">
        <f>F65</f>
        <v>0</v>
      </c>
      <c r="H65" s="355"/>
      <c r="I65" s="371" t="s">
        <v>22</v>
      </c>
      <c r="J65" s="373"/>
      <c r="K65" s="368"/>
      <c r="L65" s="372"/>
      <c r="M65" s="370">
        <f>G65+G73+M73</f>
        <v>0</v>
      </c>
      <c r="N65" s="399"/>
      <c r="O65" s="400"/>
      <c r="P65" s="398"/>
      <c r="Q65" s="366" t="s">
        <v>22</v>
      </c>
      <c r="R65" s="373"/>
      <c r="S65" s="368"/>
      <c r="T65" s="369"/>
      <c r="U65" s="370">
        <f>T65</f>
        <v>0</v>
      </c>
      <c r="V65" s="355"/>
      <c r="W65" s="366" t="s">
        <v>22</v>
      </c>
      <c r="X65" s="373"/>
      <c r="Y65" s="368"/>
      <c r="Z65" s="372"/>
      <c r="AA65" s="370">
        <f>U65+U73+AA73</f>
        <v>0</v>
      </c>
      <c r="AB65" s="399"/>
      <c r="AC65" s="400"/>
      <c r="AD65" s="398"/>
      <c r="AE65" s="366" t="s">
        <v>22</v>
      </c>
      <c r="AF65" s="373"/>
      <c r="AG65" s="368"/>
      <c r="AH65" s="369"/>
      <c r="AI65" s="407">
        <f>AA65+U65</f>
        <v>0</v>
      </c>
      <c r="AJ65" s="355"/>
      <c r="AK65" s="366" t="s">
        <v>22</v>
      </c>
      <c r="AL65" s="373"/>
      <c r="AM65" s="368"/>
      <c r="AN65" s="372"/>
      <c r="AO65" s="407">
        <f>AI65+AI73+AO73</f>
        <v>0</v>
      </c>
      <c r="AP65" s="399"/>
      <c r="AQ65" s="405"/>
      <c r="AR65" s="401"/>
      <c r="AS65" s="401"/>
      <c r="AT65" s="401"/>
      <c r="AU65" s="401"/>
      <c r="AV65" s="401"/>
      <c r="AW65" s="401"/>
      <c r="AX65" s="401"/>
      <c r="AY65" s="401"/>
      <c r="BH65" s="401"/>
      <c r="BI65" s="401"/>
      <c r="BJ65" s="401"/>
      <c r="BK65" s="401"/>
      <c r="BL65" s="401"/>
      <c r="BM65" s="401"/>
      <c r="BN65" s="400"/>
      <c r="BO65" s="401"/>
      <c r="BP65" s="401"/>
      <c r="BQ65" s="400"/>
      <c r="BR65" s="400"/>
      <c r="BS65" s="400"/>
      <c r="BT65" s="400"/>
      <c r="BU65" s="400"/>
    </row>
    <row r="66" spans="1:73" s="400" customFormat="1" ht="18" customHeight="1">
      <c r="A66" s="368"/>
      <c r="B66" s="398"/>
      <c r="C66" s="374" t="s">
        <v>21</v>
      </c>
      <c r="D66" s="375"/>
      <c r="E66" s="348"/>
      <c r="F66" s="376"/>
      <c r="G66" s="377">
        <f>F66</f>
        <v>0</v>
      </c>
      <c r="H66" s="355"/>
      <c r="I66" s="378" t="s">
        <v>21</v>
      </c>
      <c r="J66" s="375"/>
      <c r="K66" s="348"/>
      <c r="L66" s="379"/>
      <c r="M66" s="377">
        <f>G66+G74+M74</f>
        <v>0</v>
      </c>
      <c r="N66" s="399"/>
      <c r="O66" s="368"/>
      <c r="P66" s="398"/>
      <c r="Q66" s="374"/>
      <c r="R66" s="375"/>
      <c r="S66" s="348"/>
      <c r="T66" s="376"/>
      <c r="U66" s="377"/>
      <c r="V66" s="355"/>
      <c r="W66" s="374"/>
      <c r="X66" s="375"/>
      <c r="Y66" s="348"/>
      <c r="Z66" s="379"/>
      <c r="AA66" s="377"/>
      <c r="AB66" s="399"/>
      <c r="AC66" s="368"/>
      <c r="AD66" s="398"/>
      <c r="AE66" s="374" t="s">
        <v>21</v>
      </c>
      <c r="AF66" s="375"/>
      <c r="AG66" s="348"/>
      <c r="AH66" s="376"/>
      <c r="AI66" s="408"/>
      <c r="AJ66" s="355"/>
      <c r="AK66" s="374" t="s">
        <v>21</v>
      </c>
      <c r="AL66" s="375"/>
      <c r="AM66" s="348"/>
      <c r="AN66" s="379"/>
      <c r="AO66" s="377">
        <f>AI66+AI74+AO74</f>
        <v>0</v>
      </c>
      <c r="AP66" s="399"/>
      <c r="AQ66" s="405"/>
      <c r="AR66" s="401"/>
      <c r="AS66" s="401"/>
      <c r="AT66" s="401"/>
      <c r="AU66" s="401"/>
      <c r="AV66" s="401"/>
      <c r="AW66" s="401"/>
      <c r="AX66" s="401"/>
      <c r="AY66" s="401"/>
      <c r="AZ66" s="397"/>
      <c r="BA66" s="397"/>
      <c r="BB66" s="397"/>
      <c r="BC66" s="397"/>
      <c r="BD66" s="397"/>
      <c r="BE66" s="397"/>
      <c r="BF66" s="397"/>
      <c r="BH66" s="401"/>
      <c r="BI66" s="401"/>
      <c r="BJ66" s="401"/>
      <c r="BK66" s="401"/>
      <c r="BL66" s="401"/>
      <c r="BM66" s="401"/>
      <c r="BN66" s="397"/>
      <c r="BO66" s="401"/>
      <c r="BP66" s="401"/>
      <c r="BQ66" s="397"/>
      <c r="BR66" s="397"/>
      <c r="BS66" s="397"/>
      <c r="BT66" s="397"/>
      <c r="BU66" s="397"/>
    </row>
    <row r="67" spans="2:68" s="397" customFormat="1" ht="9.75" customHeight="1">
      <c r="B67" s="398"/>
      <c r="C67" s="380"/>
      <c r="D67" s="380"/>
      <c r="E67" s="355"/>
      <c r="F67" s="381"/>
      <c r="G67" s="382"/>
      <c r="H67" s="355"/>
      <c r="I67" s="380"/>
      <c r="J67" s="380"/>
      <c r="K67" s="355"/>
      <c r="L67" s="383"/>
      <c r="M67" s="384"/>
      <c r="N67" s="399"/>
      <c r="O67" s="400"/>
      <c r="P67" s="398"/>
      <c r="Q67" s="380"/>
      <c r="R67" s="380"/>
      <c r="S67" s="355"/>
      <c r="T67" s="381"/>
      <c r="U67" s="382"/>
      <c r="V67" s="355"/>
      <c r="W67" s="380"/>
      <c r="X67" s="380"/>
      <c r="Y67" s="355"/>
      <c r="Z67" s="383"/>
      <c r="AA67" s="384"/>
      <c r="AB67" s="399"/>
      <c r="AC67" s="400"/>
      <c r="AD67" s="398"/>
      <c r="AE67" s="380"/>
      <c r="AF67" s="380"/>
      <c r="AG67" s="355"/>
      <c r="AH67" s="381"/>
      <c r="AI67" s="382"/>
      <c r="AJ67" s="355"/>
      <c r="AK67" s="380"/>
      <c r="AL67" s="380"/>
      <c r="AM67" s="355"/>
      <c r="AN67" s="383"/>
      <c r="AO67" s="384"/>
      <c r="AP67" s="399"/>
      <c r="AQ67" s="405"/>
      <c r="AR67" s="401"/>
      <c r="AS67" s="401"/>
      <c r="AT67" s="401"/>
      <c r="AU67" s="401"/>
      <c r="AV67" s="401"/>
      <c r="AW67" s="401"/>
      <c r="AX67" s="401"/>
      <c r="AY67" s="401"/>
      <c r="BH67" s="401"/>
      <c r="BI67" s="401"/>
      <c r="BJ67" s="401"/>
      <c r="BK67" s="401"/>
      <c r="BL67" s="401"/>
      <c r="BM67" s="401"/>
      <c r="BO67" s="401"/>
      <c r="BP67" s="401"/>
    </row>
    <row r="68" spans="2:68" s="397" customFormat="1" ht="18" customHeight="1">
      <c r="B68" s="398"/>
      <c r="C68" s="687" t="s">
        <v>161</v>
      </c>
      <c r="D68" s="688"/>
      <c r="E68" s="688"/>
      <c r="F68" s="688"/>
      <c r="G68" s="689"/>
      <c r="H68" s="355"/>
      <c r="I68" s="687" t="s">
        <v>162</v>
      </c>
      <c r="J68" s="688"/>
      <c r="K68" s="688"/>
      <c r="L68" s="688"/>
      <c r="M68" s="689"/>
      <c r="N68" s="399"/>
      <c r="O68" s="400"/>
      <c r="P68" s="398"/>
      <c r="Q68" s="667" t="s">
        <v>161</v>
      </c>
      <c r="R68" s="668"/>
      <c r="S68" s="668"/>
      <c r="T68" s="668"/>
      <c r="U68" s="669"/>
      <c r="V68" s="355"/>
      <c r="W68" s="667" t="s">
        <v>162</v>
      </c>
      <c r="X68" s="668"/>
      <c r="Y68" s="668"/>
      <c r="Z68" s="668"/>
      <c r="AA68" s="669"/>
      <c r="AB68" s="399"/>
      <c r="AC68" s="400"/>
      <c r="AD68" s="398"/>
      <c r="AE68" s="667" t="s">
        <v>161</v>
      </c>
      <c r="AF68" s="668"/>
      <c r="AG68" s="668"/>
      <c r="AH68" s="668"/>
      <c r="AI68" s="669"/>
      <c r="AJ68" s="355"/>
      <c r="AK68" s="667" t="s">
        <v>162</v>
      </c>
      <c r="AL68" s="668"/>
      <c r="AM68" s="668"/>
      <c r="AN68" s="668"/>
      <c r="AO68" s="669"/>
      <c r="AP68" s="399"/>
      <c r="AQ68" s="405"/>
      <c r="AR68" s="401"/>
      <c r="AS68" s="401"/>
      <c r="AT68" s="401"/>
      <c r="AU68" s="401"/>
      <c r="AV68" s="401"/>
      <c r="AW68" s="401"/>
      <c r="AX68" s="401"/>
      <c r="AY68" s="401"/>
      <c r="BH68" s="401"/>
      <c r="BI68" s="401"/>
      <c r="BJ68" s="401"/>
      <c r="BK68" s="401"/>
      <c r="BL68" s="401"/>
      <c r="BM68" s="401"/>
      <c r="BO68" s="401"/>
      <c r="BP68" s="401"/>
    </row>
    <row r="69" spans="2:68" s="397" customFormat="1" ht="18" customHeight="1">
      <c r="B69" s="398"/>
      <c r="C69" s="356"/>
      <c r="D69" s="357"/>
      <c r="E69" s="356" t="s">
        <v>46</v>
      </c>
      <c r="F69" s="358"/>
      <c r="G69" s="359"/>
      <c r="H69" s="355"/>
      <c r="I69" s="356"/>
      <c r="J69" s="357"/>
      <c r="K69" s="356" t="s">
        <v>46</v>
      </c>
      <c r="L69" s="358"/>
      <c r="M69" s="359"/>
      <c r="N69" s="399"/>
      <c r="O69" s="400"/>
      <c r="P69" s="398"/>
      <c r="Q69" s="402"/>
      <c r="R69" s="373"/>
      <c r="S69" s="402" t="s">
        <v>46</v>
      </c>
      <c r="T69" s="403"/>
      <c r="U69" s="359"/>
      <c r="V69" s="355"/>
      <c r="W69" s="402"/>
      <c r="X69" s="373"/>
      <c r="Y69" s="402" t="s">
        <v>46</v>
      </c>
      <c r="Z69" s="403"/>
      <c r="AA69" s="359"/>
      <c r="AB69" s="399"/>
      <c r="AC69" s="400"/>
      <c r="AD69" s="398"/>
      <c r="AE69" s="402"/>
      <c r="AF69" s="373"/>
      <c r="AG69" s="402" t="s">
        <v>46</v>
      </c>
      <c r="AH69" s="403"/>
      <c r="AI69" s="404"/>
      <c r="AJ69" s="355"/>
      <c r="AK69" s="402"/>
      <c r="AL69" s="373"/>
      <c r="AM69" s="402" t="s">
        <v>46</v>
      </c>
      <c r="AN69" s="403"/>
      <c r="AO69" s="359"/>
      <c r="AP69" s="399"/>
      <c r="AQ69" s="405"/>
      <c r="AR69" s="401"/>
      <c r="AS69" s="401"/>
      <c r="AT69" s="401"/>
      <c r="AU69" s="401"/>
      <c r="AV69" s="401"/>
      <c r="AW69" s="401"/>
      <c r="AX69" s="401"/>
      <c r="AY69" s="401"/>
      <c r="AZ69" s="400"/>
      <c r="BA69" s="400"/>
      <c r="BB69" s="400"/>
      <c r="BC69" s="400"/>
      <c r="BD69" s="400"/>
      <c r="BE69" s="400"/>
      <c r="BF69" s="400"/>
      <c r="BH69" s="401"/>
      <c r="BI69" s="401"/>
      <c r="BJ69" s="401"/>
      <c r="BK69" s="401"/>
      <c r="BL69" s="401"/>
      <c r="BM69" s="401"/>
      <c r="BO69" s="401"/>
      <c r="BP69" s="401"/>
    </row>
    <row r="70" spans="2:68" s="397" customFormat="1" ht="18" customHeight="1">
      <c r="B70" s="398"/>
      <c r="C70" s="360" t="s">
        <v>99</v>
      </c>
      <c r="D70" s="361"/>
      <c r="E70" s="346"/>
      <c r="F70" s="385">
        <f>G70/25</f>
        <v>15.412760000000002</v>
      </c>
      <c r="G70" s="386">
        <f>350.29*1.1</f>
        <v>385.3190000000001</v>
      </c>
      <c r="H70" s="355"/>
      <c r="I70" s="360" t="s">
        <v>99</v>
      </c>
      <c r="J70" s="361"/>
      <c r="K70" s="346"/>
      <c r="L70" s="365">
        <f>M70/298</f>
        <v>2.2130671140939597</v>
      </c>
      <c r="M70" s="387">
        <f>599.54*1.1</f>
        <v>659.494</v>
      </c>
      <c r="N70" s="399"/>
      <c r="O70" s="400"/>
      <c r="P70" s="398"/>
      <c r="Q70" s="360" t="s">
        <v>99</v>
      </c>
      <c r="R70" s="361"/>
      <c r="S70" s="346"/>
      <c r="T70" s="385">
        <f>U70/25</f>
        <v>13.210120000000002</v>
      </c>
      <c r="U70" s="386">
        <f>300.23*1.1</f>
        <v>330.25300000000004</v>
      </c>
      <c r="V70" s="355"/>
      <c r="W70" s="360" t="s">
        <v>99</v>
      </c>
      <c r="X70" s="361"/>
      <c r="Y70" s="346"/>
      <c r="Z70" s="365">
        <f>AA70/298</f>
        <v>1.9094597315436241</v>
      </c>
      <c r="AA70" s="387">
        <f>517.29*1.1</f>
        <v>569.019</v>
      </c>
      <c r="AB70" s="399"/>
      <c r="AC70" s="400"/>
      <c r="AD70" s="398"/>
      <c r="AE70" s="360" t="s">
        <v>99</v>
      </c>
      <c r="AF70" s="361"/>
      <c r="AG70" s="346"/>
      <c r="AH70" s="385">
        <f>AI70/25</f>
        <v>35.97088</v>
      </c>
      <c r="AI70" s="406">
        <f>AA70+U70</f>
        <v>899.272</v>
      </c>
      <c r="AJ70" s="355"/>
      <c r="AK70" s="360" t="s">
        <v>99</v>
      </c>
      <c r="AL70" s="361"/>
      <c r="AM70" s="346"/>
      <c r="AN70" s="365">
        <f>AO70/298</f>
        <v>1.9094597315436241</v>
      </c>
      <c r="AO70" s="406">
        <f>AG70+AA70</f>
        <v>569.019</v>
      </c>
      <c r="AP70" s="399"/>
      <c r="AQ70" s="405"/>
      <c r="AR70" s="401"/>
      <c r="AS70" s="401"/>
      <c r="AT70" s="401"/>
      <c r="AU70" s="401"/>
      <c r="AV70" s="401"/>
      <c r="AW70" s="401"/>
      <c r="AX70" s="401"/>
      <c r="AY70" s="401"/>
      <c r="BH70" s="401"/>
      <c r="BI70" s="401"/>
      <c r="BJ70" s="401"/>
      <c r="BK70" s="401"/>
      <c r="BL70" s="401"/>
      <c r="BM70" s="401"/>
      <c r="BO70" s="401"/>
      <c r="BP70" s="401"/>
    </row>
    <row r="71" spans="2:72" s="397" customFormat="1" ht="18" customHeight="1">
      <c r="B71" s="398"/>
      <c r="C71" s="366" t="s">
        <v>32</v>
      </c>
      <c r="D71" s="367"/>
      <c r="E71" s="368"/>
      <c r="F71" s="388">
        <f>G71/25</f>
        <v>6.336</v>
      </c>
      <c r="G71" s="389">
        <f>144*1.1</f>
        <v>158.4</v>
      </c>
      <c r="H71" s="355"/>
      <c r="I71" s="366" t="s">
        <v>32</v>
      </c>
      <c r="J71" s="367"/>
      <c r="K71" s="368"/>
      <c r="L71" s="372">
        <f>M71/298</f>
        <v>1.1317080536912751</v>
      </c>
      <c r="M71" s="389">
        <f>306.59*1.1</f>
        <v>337.249</v>
      </c>
      <c r="N71" s="399"/>
      <c r="O71" s="400"/>
      <c r="P71" s="398"/>
      <c r="Q71" s="366" t="s">
        <v>32</v>
      </c>
      <c r="R71" s="367"/>
      <c r="S71" s="368"/>
      <c r="T71" s="388">
        <f>U71/25</f>
        <v>13.522960000000001</v>
      </c>
      <c r="U71" s="389">
        <f>307.34*1.1</f>
        <v>338.074</v>
      </c>
      <c r="V71" s="355"/>
      <c r="W71" s="366" t="s">
        <v>32</v>
      </c>
      <c r="X71" s="367"/>
      <c r="Y71" s="368"/>
      <c r="Z71" s="372">
        <f>AA71/298</f>
        <v>2.4161241610738253</v>
      </c>
      <c r="AA71" s="389">
        <f>654.55*1.1</f>
        <v>720.005</v>
      </c>
      <c r="AB71" s="399"/>
      <c r="AC71" s="400"/>
      <c r="AD71" s="398"/>
      <c r="AE71" s="366" t="s">
        <v>32</v>
      </c>
      <c r="AF71" s="367"/>
      <c r="AG71" s="368"/>
      <c r="AH71" s="388">
        <f>AI71/25</f>
        <v>42.32316</v>
      </c>
      <c r="AI71" s="407">
        <f>AA71+U71</f>
        <v>1058.079</v>
      </c>
      <c r="AJ71" s="355"/>
      <c r="AK71" s="366" t="s">
        <v>32</v>
      </c>
      <c r="AL71" s="367"/>
      <c r="AM71" s="368"/>
      <c r="AN71" s="372">
        <f>AO71/298</f>
        <v>2.4161241610738253</v>
      </c>
      <c r="AO71" s="407">
        <f>AG71+AA71</f>
        <v>720.005</v>
      </c>
      <c r="AP71" s="399"/>
      <c r="AQ71" s="405"/>
      <c r="AR71" s="401"/>
      <c r="AS71" s="401"/>
      <c r="AT71" s="401"/>
      <c r="AU71" s="401"/>
      <c r="AV71" s="401"/>
      <c r="AW71" s="401"/>
      <c r="AX71" s="401"/>
      <c r="AY71" s="401"/>
      <c r="BH71" s="401"/>
      <c r="BI71" s="401"/>
      <c r="BJ71" s="401"/>
      <c r="BK71" s="401"/>
      <c r="BL71" s="401"/>
      <c r="BM71" s="401"/>
      <c r="BN71" s="401"/>
      <c r="BO71" s="401"/>
      <c r="BP71" s="401"/>
      <c r="BQ71" s="401"/>
      <c r="BR71" s="401"/>
      <c r="BS71" s="401"/>
      <c r="BT71" s="401"/>
    </row>
    <row r="72" spans="2:72" s="397" customFormat="1" ht="18" customHeight="1">
      <c r="B72" s="398"/>
      <c r="C72" s="366" t="s">
        <v>25</v>
      </c>
      <c r="D72" s="367"/>
      <c r="E72" s="368"/>
      <c r="F72" s="388"/>
      <c r="G72" s="389">
        <f>F72*21</f>
        <v>0</v>
      </c>
      <c r="H72" s="355"/>
      <c r="I72" s="366" t="s">
        <v>25</v>
      </c>
      <c r="J72" s="367"/>
      <c r="K72" s="368"/>
      <c r="L72" s="372"/>
      <c r="M72" s="389">
        <f>L72*298</f>
        <v>0</v>
      </c>
      <c r="N72" s="399"/>
      <c r="O72" s="400"/>
      <c r="P72" s="398"/>
      <c r="Q72" s="366" t="s">
        <v>25</v>
      </c>
      <c r="R72" s="367"/>
      <c r="S72" s="368"/>
      <c r="T72" s="388"/>
      <c r="U72" s="389">
        <f>T72*21</f>
        <v>0</v>
      </c>
      <c r="V72" s="355"/>
      <c r="W72" s="366" t="s">
        <v>25</v>
      </c>
      <c r="X72" s="367"/>
      <c r="Y72" s="368"/>
      <c r="Z72" s="372"/>
      <c r="AA72" s="389">
        <f>Z72*310</f>
        <v>0</v>
      </c>
      <c r="AB72" s="399"/>
      <c r="AC72" s="400"/>
      <c r="AD72" s="398"/>
      <c r="AE72" s="366" t="s">
        <v>25</v>
      </c>
      <c r="AF72" s="367"/>
      <c r="AG72" s="368"/>
      <c r="AH72" s="388"/>
      <c r="AI72" s="389">
        <f>AH72*25</f>
        <v>0</v>
      </c>
      <c r="AJ72" s="355"/>
      <c r="AK72" s="366" t="s">
        <v>25</v>
      </c>
      <c r="AL72" s="367"/>
      <c r="AM72" s="368"/>
      <c r="AN72" s="372"/>
      <c r="AO72" s="389">
        <f>AN72*298</f>
        <v>0</v>
      </c>
      <c r="AP72" s="399"/>
      <c r="AQ72" s="405"/>
      <c r="AR72" s="401"/>
      <c r="AS72" s="401"/>
      <c r="AT72" s="401"/>
      <c r="AU72" s="401"/>
      <c r="AV72" s="401"/>
      <c r="AW72" s="401"/>
      <c r="AX72" s="401"/>
      <c r="AY72" s="401"/>
      <c r="BH72" s="401"/>
      <c r="BI72" s="401"/>
      <c r="BJ72" s="401"/>
      <c r="BK72" s="401"/>
      <c r="BL72" s="401"/>
      <c r="BM72" s="401"/>
      <c r="BN72" s="401"/>
      <c r="BO72" s="401"/>
      <c r="BP72" s="401"/>
      <c r="BQ72" s="401"/>
      <c r="BR72" s="401"/>
      <c r="BS72" s="401"/>
      <c r="BT72" s="401"/>
    </row>
    <row r="73" spans="2:72" s="397" customFormat="1" ht="18" customHeight="1">
      <c r="B73" s="398"/>
      <c r="C73" s="366" t="s">
        <v>22</v>
      </c>
      <c r="D73" s="373"/>
      <c r="E73" s="368"/>
      <c r="F73" s="388"/>
      <c r="G73" s="389">
        <f>F73*21</f>
        <v>0</v>
      </c>
      <c r="H73" s="355"/>
      <c r="I73" s="366" t="s">
        <v>22</v>
      </c>
      <c r="J73" s="373"/>
      <c r="K73" s="368"/>
      <c r="L73" s="372"/>
      <c r="M73" s="389">
        <f>L73*298</f>
        <v>0</v>
      </c>
      <c r="N73" s="399"/>
      <c r="O73" s="400"/>
      <c r="P73" s="398"/>
      <c r="Q73" s="366" t="s">
        <v>22</v>
      </c>
      <c r="R73" s="373"/>
      <c r="S73" s="368"/>
      <c r="T73" s="388"/>
      <c r="U73" s="389">
        <f>T73*21</f>
        <v>0</v>
      </c>
      <c r="V73" s="355"/>
      <c r="W73" s="366" t="s">
        <v>22</v>
      </c>
      <c r="X73" s="373"/>
      <c r="Y73" s="368"/>
      <c r="Z73" s="372"/>
      <c r="AA73" s="389">
        <f>Z73*310</f>
        <v>0</v>
      </c>
      <c r="AB73" s="399"/>
      <c r="AC73" s="400"/>
      <c r="AD73" s="398"/>
      <c r="AE73" s="366" t="s">
        <v>22</v>
      </c>
      <c r="AF73" s="373"/>
      <c r="AG73" s="368"/>
      <c r="AH73" s="388"/>
      <c r="AI73" s="389">
        <f>AH73*25</f>
        <v>0</v>
      </c>
      <c r="AJ73" s="355"/>
      <c r="AK73" s="366" t="s">
        <v>22</v>
      </c>
      <c r="AL73" s="373"/>
      <c r="AM73" s="368"/>
      <c r="AN73" s="372"/>
      <c r="AO73" s="389">
        <f>AN73*298</f>
        <v>0</v>
      </c>
      <c r="AP73" s="399"/>
      <c r="AQ73" s="405"/>
      <c r="AR73" s="401"/>
      <c r="AS73" s="401"/>
      <c r="AT73" s="401"/>
      <c r="AU73" s="401"/>
      <c r="AV73" s="401"/>
      <c r="AW73" s="401"/>
      <c r="AX73" s="401"/>
      <c r="AY73" s="401"/>
      <c r="BH73" s="401"/>
      <c r="BI73" s="401"/>
      <c r="BJ73" s="401"/>
      <c r="BK73" s="401"/>
      <c r="BL73" s="401"/>
      <c r="BM73" s="401"/>
      <c r="BN73" s="401"/>
      <c r="BO73" s="401"/>
      <c r="BP73" s="401"/>
      <c r="BQ73" s="401"/>
      <c r="BR73" s="401"/>
      <c r="BS73" s="401"/>
      <c r="BT73" s="401"/>
    </row>
    <row r="74" spans="2:72" s="397" customFormat="1" ht="18" customHeight="1">
      <c r="B74" s="398"/>
      <c r="C74" s="374" t="s">
        <v>21</v>
      </c>
      <c r="D74" s="375"/>
      <c r="E74" s="348"/>
      <c r="F74" s="390"/>
      <c r="G74" s="391">
        <f>F74*21</f>
        <v>0</v>
      </c>
      <c r="H74" s="355"/>
      <c r="I74" s="374" t="s">
        <v>21</v>
      </c>
      <c r="J74" s="375"/>
      <c r="K74" s="348"/>
      <c r="L74" s="379"/>
      <c r="M74" s="391">
        <f>L74*298</f>
        <v>0</v>
      </c>
      <c r="N74" s="399"/>
      <c r="O74" s="400"/>
      <c r="P74" s="398"/>
      <c r="Q74" s="374"/>
      <c r="R74" s="375"/>
      <c r="S74" s="348"/>
      <c r="T74" s="390"/>
      <c r="U74" s="391"/>
      <c r="V74" s="355"/>
      <c r="W74" s="374"/>
      <c r="X74" s="375"/>
      <c r="Y74" s="348"/>
      <c r="Z74" s="379"/>
      <c r="AA74" s="391"/>
      <c r="AB74" s="399"/>
      <c r="AC74" s="400"/>
      <c r="AD74" s="398"/>
      <c r="AE74" s="374" t="s">
        <v>21</v>
      </c>
      <c r="AF74" s="375"/>
      <c r="AG74" s="348"/>
      <c r="AH74" s="390"/>
      <c r="AI74" s="391">
        <f>AH74*25</f>
        <v>0</v>
      </c>
      <c r="AJ74" s="355"/>
      <c r="AK74" s="374" t="s">
        <v>21</v>
      </c>
      <c r="AL74" s="375"/>
      <c r="AM74" s="348"/>
      <c r="AN74" s="379"/>
      <c r="AO74" s="391">
        <f>AN74*298</f>
        <v>0</v>
      </c>
      <c r="AP74" s="399"/>
      <c r="AQ74" s="405"/>
      <c r="AR74" s="401"/>
      <c r="AS74" s="401"/>
      <c r="AT74" s="401"/>
      <c r="AU74" s="401"/>
      <c r="AV74" s="401"/>
      <c r="AW74" s="401"/>
      <c r="AX74" s="401"/>
      <c r="AY74" s="401"/>
      <c r="BL74" s="401"/>
      <c r="BN74" s="401"/>
      <c r="BQ74" s="401"/>
      <c r="BR74" s="401"/>
      <c r="BS74" s="401"/>
      <c r="BT74" s="401"/>
    </row>
    <row r="75" spans="2:73" s="147" customFormat="1" ht="18" customHeight="1">
      <c r="B75" s="14"/>
      <c r="C75" s="116" t="s">
        <v>56</v>
      </c>
      <c r="D75" s="111"/>
      <c r="E75" s="112"/>
      <c r="F75" s="113"/>
      <c r="G75" s="114"/>
      <c r="H75" s="112"/>
      <c r="I75" s="111"/>
      <c r="J75" s="111"/>
      <c r="K75" s="112"/>
      <c r="L75" s="113"/>
      <c r="M75" s="115"/>
      <c r="N75" s="11"/>
      <c r="O75" s="152"/>
      <c r="P75" s="14"/>
      <c r="Q75" s="116" t="s">
        <v>56</v>
      </c>
      <c r="R75" s="111"/>
      <c r="S75" s="112"/>
      <c r="T75" s="113"/>
      <c r="U75" s="114"/>
      <c r="V75" s="112"/>
      <c r="W75" s="111"/>
      <c r="X75" s="111"/>
      <c r="Y75" s="112"/>
      <c r="Z75" s="113"/>
      <c r="AA75" s="115"/>
      <c r="AB75" s="11"/>
      <c r="AC75" s="152"/>
      <c r="AD75" s="14"/>
      <c r="AE75" s="116" t="s">
        <v>56</v>
      </c>
      <c r="AF75" s="111"/>
      <c r="AG75" s="112"/>
      <c r="AH75" s="113"/>
      <c r="AI75" s="114"/>
      <c r="AJ75" s="112"/>
      <c r="AK75" s="111"/>
      <c r="AL75" s="111"/>
      <c r="AM75" s="112"/>
      <c r="AN75" s="113"/>
      <c r="AO75" s="115"/>
      <c r="AP75" s="11"/>
      <c r="AQ75" s="149"/>
      <c r="AR75" s="148"/>
      <c r="AS75" s="148"/>
      <c r="AT75" s="148"/>
      <c r="AU75" s="148"/>
      <c r="AV75" s="148"/>
      <c r="AW75" s="148"/>
      <c r="AX75" s="148"/>
      <c r="AY75" s="148"/>
      <c r="BH75" s="148"/>
      <c r="BI75" s="148"/>
      <c r="BJ75" s="148"/>
      <c r="BK75" s="148"/>
      <c r="BL75" s="148"/>
      <c r="BM75" s="148"/>
      <c r="BN75" s="148"/>
      <c r="BO75" s="148"/>
      <c r="BP75" s="148"/>
      <c r="BQ75" s="148"/>
      <c r="BR75" s="148"/>
      <c r="BS75" s="148"/>
      <c r="BT75" s="148"/>
      <c r="BU75" s="152"/>
    </row>
    <row r="76" spans="1:73" s="416" customFormat="1" ht="18" customHeight="1">
      <c r="A76" s="409"/>
      <c r="B76" s="410"/>
      <c r="C76" s="392" t="s">
        <v>163</v>
      </c>
      <c r="D76" s="393"/>
      <c r="E76" s="394"/>
      <c r="F76" s="395"/>
      <c r="G76" s="396"/>
      <c r="H76" s="394"/>
      <c r="I76" s="393"/>
      <c r="J76" s="393"/>
      <c r="K76" s="394"/>
      <c r="L76" s="395"/>
      <c r="M76" s="411"/>
      <c r="N76" s="412"/>
      <c r="O76" s="409"/>
      <c r="P76" s="410"/>
      <c r="Q76" s="392" t="s">
        <v>163</v>
      </c>
      <c r="R76" s="393"/>
      <c r="S76" s="394"/>
      <c r="T76" s="395"/>
      <c r="U76" s="396"/>
      <c r="V76" s="394"/>
      <c r="W76" s="393"/>
      <c r="X76" s="393"/>
      <c r="Y76" s="394"/>
      <c r="Z76" s="395"/>
      <c r="AA76" s="411"/>
      <c r="AB76" s="412"/>
      <c r="AC76" s="409"/>
      <c r="AD76" s="410"/>
      <c r="AE76" s="392" t="s">
        <v>163</v>
      </c>
      <c r="AF76" s="393"/>
      <c r="AG76" s="394"/>
      <c r="AH76" s="395"/>
      <c r="AI76" s="396"/>
      <c r="AJ76" s="394"/>
      <c r="AK76" s="393"/>
      <c r="AL76" s="393"/>
      <c r="AM76" s="394"/>
      <c r="AN76" s="395"/>
      <c r="AO76" s="411"/>
      <c r="AP76" s="412"/>
      <c r="AQ76" s="413"/>
      <c r="AR76" s="414"/>
      <c r="AS76" s="414"/>
      <c r="AT76" s="414"/>
      <c r="AU76" s="414"/>
      <c r="AV76" s="414"/>
      <c r="AW76" s="414"/>
      <c r="AX76" s="414"/>
      <c r="AY76" s="414"/>
      <c r="AZ76" s="415"/>
      <c r="BA76" s="415"/>
      <c r="BB76" s="415"/>
      <c r="BC76" s="415"/>
      <c r="BD76" s="415"/>
      <c r="BE76" s="415"/>
      <c r="BF76" s="415"/>
      <c r="BH76" s="417"/>
      <c r="BI76" s="417"/>
      <c r="BJ76" s="417"/>
      <c r="BK76" s="417"/>
      <c r="BL76" s="414"/>
      <c r="BM76" s="417"/>
      <c r="BN76" s="414"/>
      <c r="BO76" s="417"/>
      <c r="BP76" s="417"/>
      <c r="BQ76" s="414"/>
      <c r="BR76" s="414"/>
      <c r="BS76" s="414"/>
      <c r="BT76" s="414"/>
      <c r="BU76" s="415"/>
    </row>
    <row r="77" spans="2:72" s="415" customFormat="1" ht="18" customHeight="1">
      <c r="B77" s="410"/>
      <c r="C77" s="392" t="s">
        <v>159</v>
      </c>
      <c r="D77" s="393"/>
      <c r="E77" s="394"/>
      <c r="F77" s="395"/>
      <c r="G77" s="396"/>
      <c r="H77" s="394"/>
      <c r="I77" s="393"/>
      <c r="J77" s="393"/>
      <c r="K77" s="394"/>
      <c r="L77" s="395"/>
      <c r="M77" s="411"/>
      <c r="N77" s="412"/>
      <c r="O77" s="416"/>
      <c r="P77" s="410"/>
      <c r="Q77" s="392" t="s">
        <v>159</v>
      </c>
      <c r="R77" s="393"/>
      <c r="S77" s="394"/>
      <c r="T77" s="395"/>
      <c r="U77" s="396"/>
      <c r="V77" s="394"/>
      <c r="W77" s="393"/>
      <c r="X77" s="393"/>
      <c r="Y77" s="394"/>
      <c r="Z77" s="395"/>
      <c r="AA77" s="411"/>
      <c r="AB77" s="412"/>
      <c r="AC77" s="416"/>
      <c r="AD77" s="410"/>
      <c r="AE77" s="392" t="s">
        <v>159</v>
      </c>
      <c r="AF77" s="393"/>
      <c r="AG77" s="394"/>
      <c r="AH77" s="395"/>
      <c r="AI77" s="396"/>
      <c r="AJ77" s="394"/>
      <c r="AK77" s="393"/>
      <c r="AL77" s="393"/>
      <c r="AM77" s="394"/>
      <c r="AN77" s="395"/>
      <c r="AO77" s="411"/>
      <c r="AP77" s="412"/>
      <c r="AQ77" s="413"/>
      <c r="AR77" s="414"/>
      <c r="AS77" s="414"/>
      <c r="AT77" s="414"/>
      <c r="AU77" s="414"/>
      <c r="AV77" s="414"/>
      <c r="AW77" s="414"/>
      <c r="AX77" s="414"/>
      <c r="AY77" s="414"/>
      <c r="BH77" s="417"/>
      <c r="BI77" s="417"/>
      <c r="BJ77" s="417"/>
      <c r="BK77" s="417"/>
      <c r="BM77" s="417"/>
      <c r="BN77" s="414"/>
      <c r="BO77" s="417"/>
      <c r="BP77" s="417"/>
      <c r="BQ77" s="414"/>
      <c r="BR77" s="414"/>
      <c r="BS77" s="414"/>
      <c r="BT77" s="414"/>
    </row>
    <row r="78" spans="2:72" s="147" customFormat="1" ht="9.75" customHeight="1" thickBot="1">
      <c r="B78" s="21"/>
      <c r="C78" s="117"/>
      <c r="D78" s="89"/>
      <c r="E78" s="13"/>
      <c r="F78" s="13"/>
      <c r="G78" s="90"/>
      <c r="H78" s="13"/>
      <c r="I78" s="91"/>
      <c r="J78" s="91"/>
      <c r="K78" s="13"/>
      <c r="L78" s="90"/>
      <c r="M78" s="90"/>
      <c r="N78" s="12"/>
      <c r="O78" s="152"/>
      <c r="P78" s="21"/>
      <c r="Q78" s="117"/>
      <c r="R78" s="89"/>
      <c r="S78" s="13"/>
      <c r="T78" s="13"/>
      <c r="U78" s="90"/>
      <c r="V78" s="13"/>
      <c r="W78" s="91"/>
      <c r="X78" s="91"/>
      <c r="Y78" s="13"/>
      <c r="Z78" s="90"/>
      <c r="AA78" s="90"/>
      <c r="AB78" s="12"/>
      <c r="AC78" s="152"/>
      <c r="AD78" s="21"/>
      <c r="AE78" s="117"/>
      <c r="AF78" s="89"/>
      <c r="AG78" s="13"/>
      <c r="AH78" s="13"/>
      <c r="AI78" s="90"/>
      <c r="AJ78" s="13"/>
      <c r="AK78" s="91"/>
      <c r="AL78" s="91"/>
      <c r="AM78" s="13"/>
      <c r="AN78" s="90"/>
      <c r="AO78" s="90"/>
      <c r="AP78" s="12"/>
      <c r="AQ78" s="149"/>
      <c r="AR78" s="148"/>
      <c r="AS78" s="148"/>
      <c r="AT78" s="148"/>
      <c r="AU78" s="148"/>
      <c r="AV78" s="148"/>
      <c r="AW78" s="148"/>
      <c r="AX78" s="148"/>
      <c r="AY78" s="148"/>
      <c r="BH78" s="150"/>
      <c r="BI78" s="150"/>
      <c r="BJ78" s="150"/>
      <c r="BK78" s="150"/>
      <c r="BL78" s="150"/>
      <c r="BM78" s="150"/>
      <c r="BN78" s="148"/>
      <c r="BO78" s="150"/>
      <c r="BP78" s="150"/>
      <c r="BQ78" s="148"/>
      <c r="BR78" s="148"/>
      <c r="BS78" s="148"/>
      <c r="BT78" s="148"/>
    </row>
    <row r="79" spans="2:73" s="147" customFormat="1" ht="18" customHeight="1" thickTop="1">
      <c r="B79" s="148"/>
      <c r="C79" s="148"/>
      <c r="D79" s="148"/>
      <c r="E79" s="148"/>
      <c r="F79" s="148"/>
      <c r="G79" s="148"/>
      <c r="H79" s="148"/>
      <c r="I79" s="148"/>
      <c r="J79" s="148"/>
      <c r="K79" s="148"/>
      <c r="L79" s="148"/>
      <c r="M79" s="148"/>
      <c r="N79" s="148"/>
      <c r="O79" s="152"/>
      <c r="P79" s="148"/>
      <c r="Q79" s="148"/>
      <c r="R79" s="148"/>
      <c r="S79" s="148"/>
      <c r="T79" s="148"/>
      <c r="U79" s="148"/>
      <c r="V79" s="148"/>
      <c r="W79" s="148"/>
      <c r="X79" s="148"/>
      <c r="Y79" s="148"/>
      <c r="Z79" s="148"/>
      <c r="AA79" s="148"/>
      <c r="AB79" s="148"/>
      <c r="AD79" s="148"/>
      <c r="AE79" s="148"/>
      <c r="AF79" s="148"/>
      <c r="AG79" s="148"/>
      <c r="AH79" s="148"/>
      <c r="AI79" s="148"/>
      <c r="AJ79" s="148"/>
      <c r="AK79" s="148"/>
      <c r="AL79" s="148"/>
      <c r="AM79" s="148"/>
      <c r="AN79" s="148"/>
      <c r="AO79" s="148"/>
      <c r="AP79" s="148"/>
      <c r="AQ79" s="149"/>
      <c r="AR79" s="148"/>
      <c r="AS79" s="148"/>
      <c r="AT79" s="148"/>
      <c r="AU79" s="148"/>
      <c r="AV79" s="148"/>
      <c r="AW79" s="148"/>
      <c r="AX79" s="148"/>
      <c r="AY79" s="148"/>
      <c r="BH79" s="150"/>
      <c r="BI79" s="150"/>
      <c r="BJ79" s="150"/>
      <c r="BK79" s="150"/>
      <c r="BL79" s="150"/>
      <c r="BM79" s="150"/>
      <c r="BN79" s="148"/>
      <c r="BO79" s="150"/>
      <c r="BP79" s="150"/>
      <c r="BQ79" s="148"/>
      <c r="BR79" s="148"/>
      <c r="BS79" s="148"/>
      <c r="BT79" s="148"/>
      <c r="BU79" s="148"/>
    </row>
    <row r="80" s="448" customFormat="1" ht="15"/>
    <row r="81" s="448" customFormat="1" ht="15"/>
    <row r="82" s="448" customFormat="1" ht="15"/>
    <row r="83" s="448" customFormat="1" ht="15"/>
    <row r="84" s="448" customFormat="1" ht="15"/>
    <row r="85" s="448" customFormat="1" ht="15"/>
    <row r="86" s="448" customFormat="1" ht="15"/>
    <row r="87" s="448" customFormat="1" ht="15"/>
    <row r="88" s="448" customFormat="1" ht="15"/>
    <row r="89" s="448" customFormat="1" ht="15"/>
    <row r="90" s="448" customFormat="1" ht="15"/>
    <row r="91" s="448" customFormat="1" ht="15"/>
    <row r="92" s="448" customFormat="1" ht="15"/>
    <row r="93" s="448" customFormat="1" ht="15"/>
    <row r="94" s="448" customFormat="1" ht="15"/>
    <row r="95" s="448" customFormat="1" ht="15"/>
    <row r="96" s="448" customFormat="1" ht="15"/>
    <row r="97" s="448" customFormat="1" ht="15"/>
    <row r="98" s="448" customFormat="1" ht="15"/>
    <row r="99" s="448" customFormat="1" ht="15"/>
    <row r="100" s="448" customFormat="1" ht="15"/>
    <row r="101" s="448" customFormat="1" ht="15"/>
    <row r="102" s="448" customFormat="1" ht="15"/>
    <row r="103" s="448" customFormat="1" ht="15"/>
    <row r="104" s="448" customFormat="1" ht="15"/>
    <row r="105" s="448" customFormat="1" ht="15"/>
    <row r="106" s="448" customFormat="1" ht="15"/>
    <row r="107" s="448" customFormat="1" ht="15"/>
    <row r="108" s="448" customFormat="1" ht="15"/>
    <row r="109" s="448" customFormat="1" ht="15"/>
    <row r="110" s="448" customFormat="1" ht="15"/>
    <row r="111" s="448" customFormat="1" ht="15"/>
    <row r="112" s="448" customFormat="1" ht="15"/>
    <row r="113" s="448" customFormat="1" ht="15"/>
    <row r="114" s="448" customFormat="1" ht="15"/>
    <row r="115" s="448" customFormat="1" ht="15"/>
    <row r="116" s="448" customFormat="1" ht="15"/>
    <row r="117" s="448" customFormat="1" ht="15"/>
    <row r="118" s="448" customFormat="1" ht="15"/>
    <row r="119" s="448" customFormat="1" ht="15"/>
    <row r="120" s="448" customFormat="1" ht="15"/>
    <row r="121" s="448" customFormat="1" ht="15"/>
    <row r="122" s="448" customFormat="1" ht="15"/>
    <row r="123" s="448" customFormat="1" ht="15"/>
    <row r="124" s="448" customFormat="1" ht="15"/>
    <row r="125" s="448" customFormat="1" ht="15"/>
    <row r="126" s="448" customFormat="1" ht="15"/>
    <row r="127" s="448" customFormat="1" ht="15"/>
    <row r="128" s="448" customFormat="1" ht="15"/>
    <row r="129" s="448" customFormat="1" ht="15"/>
    <row r="130" s="448" customFormat="1" ht="15"/>
    <row r="131" s="448" customFormat="1" ht="15"/>
    <row r="132" s="448" customFormat="1" ht="15"/>
    <row r="133" s="448" customFormat="1" ht="15"/>
    <row r="134" s="448" customFormat="1" ht="15"/>
    <row r="135" s="448" customFormat="1" ht="15"/>
    <row r="136" s="448" customFormat="1" ht="15"/>
    <row r="137" s="448" customFormat="1" ht="15"/>
    <row r="138" s="448" customFormat="1" ht="15"/>
    <row r="139" s="448" customFormat="1" ht="15"/>
    <row r="140" s="448" customFormat="1" ht="15"/>
    <row r="141" s="448" customFormat="1" ht="15"/>
    <row r="142" s="448" customFormat="1" ht="15"/>
    <row r="143" s="448" customFormat="1" ht="15"/>
    <row r="144" s="448" customFormat="1" ht="15"/>
    <row r="145" s="448" customFormat="1" ht="15"/>
    <row r="146" s="448" customFormat="1" ht="15"/>
    <row r="147" s="448" customFormat="1" ht="15"/>
    <row r="148" s="448" customFormat="1" ht="15"/>
    <row r="149" s="448" customFormat="1" ht="15"/>
    <row r="150" s="448" customFormat="1" ht="15"/>
    <row r="151" s="448" customFormat="1" ht="15"/>
    <row r="152" s="448" customFormat="1" ht="15"/>
    <row r="153" s="448" customFormat="1" ht="15"/>
    <row r="154" s="448" customFormat="1" ht="15"/>
    <row r="155" s="448" customFormat="1" ht="15"/>
    <row r="156" s="448" customFormat="1" ht="15"/>
    <row r="157" s="448" customFormat="1" ht="15"/>
    <row r="158" s="448" customFormat="1" ht="15"/>
    <row r="159" s="448" customFormat="1" ht="15"/>
    <row r="160" s="448" customFormat="1" ht="15"/>
    <row r="161" s="448" customFormat="1" ht="15"/>
    <row r="162" s="448" customFormat="1" ht="15"/>
    <row r="163" s="448" customFormat="1" ht="15"/>
    <row r="164" s="448" customFormat="1" ht="15"/>
    <row r="165" s="448" customFormat="1" ht="15"/>
    <row r="166" s="448" customFormat="1" ht="15"/>
    <row r="167" s="448" customFormat="1" ht="15"/>
    <row r="168" s="448" customFormat="1" ht="15"/>
    <row r="169" s="448" customFormat="1" ht="15"/>
    <row r="170" s="448" customFormat="1" ht="15"/>
    <row r="171" s="448" customFormat="1" ht="15"/>
    <row r="172" s="448" customFormat="1" ht="15"/>
    <row r="173" s="448" customFormat="1" ht="15"/>
    <row r="174" s="448" customFormat="1" ht="15"/>
    <row r="175" s="448" customFormat="1" ht="15"/>
    <row r="176" s="448" customFormat="1" ht="15"/>
    <row r="177" s="448" customFormat="1" ht="15"/>
    <row r="178" s="448" customFormat="1" ht="15"/>
    <row r="179" s="448" customFormat="1" ht="15"/>
    <row r="180" s="448" customFormat="1" ht="15"/>
    <row r="181" s="448" customFormat="1" ht="15"/>
    <row r="182" s="448" customFormat="1" ht="15"/>
    <row r="183" s="448" customFormat="1" ht="15"/>
    <row r="184" s="448" customFormat="1" ht="15"/>
    <row r="185" s="448" customFormat="1" ht="15"/>
    <row r="186" s="448" customFormat="1" ht="15"/>
    <row r="187" s="448" customFormat="1" ht="15"/>
    <row r="188" s="448" customFormat="1" ht="15"/>
    <row r="189" s="448" customFormat="1" ht="15"/>
    <row r="190" s="448" customFormat="1" ht="15"/>
    <row r="191" s="448" customFormat="1" ht="15"/>
    <row r="192" s="448" customFormat="1" ht="15"/>
    <row r="193" s="448" customFormat="1" ht="15"/>
    <row r="194" s="448" customFormat="1" ht="15"/>
    <row r="195" s="448" customFormat="1" ht="15"/>
    <row r="196" s="448" customFormat="1" ht="15"/>
    <row r="197" s="448" customFormat="1" ht="15"/>
    <row r="198" s="448" customFormat="1" ht="15"/>
    <row r="199" s="448" customFormat="1" ht="15"/>
    <row r="200" s="448" customFormat="1" ht="15"/>
    <row r="201" s="448" customFormat="1" ht="15"/>
    <row r="202" s="448" customFormat="1" ht="15"/>
    <row r="203" s="448" customFormat="1" ht="15"/>
    <row r="204" s="448" customFormat="1" ht="15"/>
    <row r="205" s="448" customFormat="1" ht="15"/>
    <row r="206" s="448" customFormat="1" ht="15"/>
    <row r="207" s="448" customFormat="1" ht="15"/>
    <row r="208" s="448" customFormat="1" ht="15"/>
    <row r="209" s="448" customFormat="1" ht="15"/>
    <row r="210" s="448" customFormat="1" ht="15"/>
    <row r="211" s="448" customFormat="1" ht="15"/>
    <row r="212" s="448" customFormat="1" ht="15"/>
    <row r="213" s="448" customFormat="1" ht="15"/>
    <row r="214" s="448" customFormat="1" ht="15"/>
    <row r="215" s="448" customFormat="1" ht="15"/>
    <row r="216" s="448" customFormat="1" ht="15"/>
    <row r="217" s="448" customFormat="1" ht="15"/>
    <row r="218" s="448" customFormat="1" ht="15"/>
    <row r="219" s="448" customFormat="1" ht="15"/>
    <row r="220" s="448" customFormat="1" ht="15"/>
    <row r="221" s="448" customFormat="1" ht="15"/>
    <row r="222" s="448" customFormat="1" ht="15"/>
    <row r="223" s="448" customFormat="1" ht="15"/>
    <row r="224" s="448" customFormat="1" ht="15"/>
    <row r="225" s="448" customFormat="1" ht="15"/>
    <row r="226" s="448" customFormat="1" ht="15"/>
    <row r="227" s="448" customFormat="1" ht="15"/>
    <row r="228" s="448" customFormat="1" ht="15"/>
    <row r="229" s="448" customFormat="1" ht="15"/>
    <row r="230" s="448" customFormat="1" ht="15"/>
    <row r="231" s="448" customFormat="1" ht="15"/>
    <row r="232" s="448" customFormat="1" ht="15"/>
    <row r="233" s="448" customFormat="1" ht="15"/>
    <row r="234" s="448" customFormat="1" ht="15"/>
    <row r="235" s="448" customFormat="1" ht="15"/>
    <row r="236" s="448" customFormat="1" ht="15"/>
    <row r="237" s="448" customFormat="1" ht="15"/>
    <row r="238" s="448" customFormat="1" ht="15"/>
    <row r="239" s="448" customFormat="1" ht="15"/>
    <row r="240" s="448" customFormat="1" ht="15"/>
    <row r="241" s="448" customFormat="1" ht="15"/>
    <row r="242" s="448" customFormat="1" ht="15"/>
    <row r="243" s="448" customFormat="1" ht="15"/>
    <row r="244" s="448" customFormat="1" ht="15"/>
    <row r="245" s="448" customFormat="1" ht="15"/>
    <row r="246" s="448" customFormat="1" ht="15"/>
    <row r="247" s="448" customFormat="1" ht="15"/>
    <row r="248" s="448" customFormat="1" ht="15"/>
    <row r="249" s="448" customFormat="1" ht="15"/>
    <row r="250" s="448" customFormat="1" ht="15"/>
    <row r="251" s="448" customFormat="1" ht="15"/>
    <row r="252" s="448" customFormat="1" ht="15"/>
    <row r="253" s="448" customFormat="1" ht="15"/>
    <row r="254" s="448" customFormat="1" ht="15"/>
    <row r="255" s="448" customFormat="1" ht="15"/>
    <row r="256" s="448" customFormat="1" ht="15"/>
    <row r="257" s="448" customFormat="1" ht="15"/>
    <row r="258" s="448" customFormat="1" ht="15"/>
    <row r="259" s="448" customFormat="1" ht="15"/>
    <row r="260" s="448" customFormat="1" ht="15"/>
    <row r="261" s="448" customFormat="1" ht="15"/>
    <row r="262" s="448" customFormat="1" ht="15"/>
    <row r="263" s="448" customFormat="1" ht="15"/>
    <row r="264" s="448" customFormat="1" ht="15"/>
    <row r="265" s="448" customFormat="1" ht="15"/>
    <row r="266" s="448" customFormat="1" ht="15"/>
    <row r="267" s="448" customFormat="1" ht="15"/>
    <row r="268" s="448" customFormat="1" ht="15"/>
    <row r="269" s="448" customFormat="1" ht="15"/>
    <row r="270" s="448" customFormat="1" ht="15"/>
    <row r="271" s="448" customFormat="1" ht="15"/>
    <row r="272" s="448" customFormat="1" ht="15"/>
    <row r="273" s="448" customFormat="1" ht="15"/>
    <row r="274" s="448" customFormat="1" ht="15"/>
    <row r="275" s="448" customFormat="1" ht="15"/>
    <row r="276" s="448" customFormat="1" ht="15"/>
    <row r="277" s="448" customFormat="1" ht="15"/>
    <row r="278" s="448" customFormat="1" ht="15"/>
    <row r="279" s="448" customFormat="1" ht="15"/>
    <row r="280" s="448" customFormat="1" ht="15"/>
    <row r="281" s="448" customFormat="1" ht="15"/>
    <row r="282" s="448" customFormat="1" ht="15"/>
    <row r="283" s="448" customFormat="1" ht="15"/>
    <row r="284" s="448" customFormat="1" ht="15"/>
    <row r="285" s="448" customFormat="1" ht="15"/>
    <row r="286" s="448" customFormat="1" ht="15"/>
    <row r="287" s="448" customFormat="1" ht="15"/>
    <row r="288" s="448" customFormat="1" ht="15"/>
    <row r="289" s="448" customFormat="1" ht="15"/>
    <row r="290" s="448" customFormat="1" ht="15"/>
    <row r="291" s="448" customFormat="1" ht="15"/>
    <row r="292" s="448" customFormat="1" ht="15"/>
    <row r="293" s="448" customFormat="1" ht="15"/>
    <row r="294" s="448" customFormat="1" ht="15"/>
    <row r="295" s="448" customFormat="1" ht="15"/>
    <row r="296" s="448" customFormat="1" ht="15"/>
    <row r="297" s="448" customFormat="1" ht="15"/>
    <row r="298" s="448" customFormat="1" ht="15"/>
    <row r="299" s="448" customFormat="1" ht="15"/>
    <row r="300" s="448" customFormat="1" ht="15"/>
    <row r="301" s="448" customFormat="1" ht="15"/>
    <row r="302" s="448" customFormat="1" ht="15"/>
    <row r="303" s="448" customFormat="1" ht="15"/>
    <row r="304" s="448" customFormat="1" ht="15"/>
    <row r="305" s="448" customFormat="1" ht="15"/>
    <row r="306" s="448" customFormat="1" ht="15"/>
    <row r="307" s="448" customFormat="1" ht="15"/>
    <row r="308" s="448" customFormat="1" ht="15"/>
    <row r="309" s="448" customFormat="1" ht="15"/>
    <row r="310" s="448" customFormat="1" ht="15"/>
    <row r="311" s="448" customFormat="1" ht="15"/>
    <row r="312" s="448" customFormat="1" ht="15"/>
    <row r="313" s="448" customFormat="1" ht="15"/>
    <row r="314" s="448" customFormat="1" ht="15"/>
    <row r="315" s="448" customFormat="1" ht="15"/>
    <row r="316" s="448" customFormat="1" ht="15"/>
    <row r="317" s="448" customFormat="1" ht="15"/>
    <row r="318" s="448" customFormat="1" ht="15"/>
    <row r="319" s="448" customFormat="1" ht="15"/>
    <row r="320" s="448" customFormat="1" ht="15"/>
    <row r="321" s="448" customFormat="1" ht="15"/>
    <row r="322" s="448" customFormat="1" ht="15"/>
    <row r="323" s="448" customFormat="1" ht="15"/>
    <row r="324" s="448" customFormat="1" ht="15"/>
    <row r="325" s="448" customFormat="1" ht="15"/>
    <row r="326" s="448" customFormat="1" ht="15"/>
    <row r="327" s="448" customFormat="1" ht="15"/>
    <row r="328" s="448" customFormat="1" ht="15"/>
    <row r="329" s="448" customFormat="1" ht="15"/>
    <row r="330" s="448" customFormat="1" ht="15"/>
    <row r="331" s="448" customFormat="1" ht="15"/>
    <row r="332" s="448" customFormat="1" ht="15"/>
    <row r="333" s="448" customFormat="1" ht="15"/>
    <row r="334" s="448" customFormat="1" ht="15"/>
    <row r="335" s="448" customFormat="1" ht="15"/>
    <row r="336" s="448" customFormat="1" ht="15"/>
    <row r="337" s="448" customFormat="1" ht="15"/>
    <row r="338" s="448" customFormat="1" ht="15"/>
    <row r="339" s="448" customFormat="1" ht="15"/>
    <row r="340" s="448" customFormat="1" ht="15"/>
    <row r="341" s="448" customFormat="1" ht="15"/>
    <row r="342" s="448" customFormat="1" ht="15"/>
    <row r="343" s="448" customFormat="1" ht="15"/>
    <row r="344" s="448" customFormat="1" ht="15"/>
    <row r="345" s="448" customFormat="1" ht="15"/>
    <row r="346" s="448" customFormat="1" ht="15"/>
    <row r="347" s="448" customFormat="1" ht="15"/>
    <row r="348" s="448" customFormat="1" ht="15"/>
    <row r="349" s="448" customFormat="1" ht="15"/>
    <row r="350" s="448" customFormat="1" ht="15"/>
    <row r="351" s="448" customFormat="1" ht="15"/>
    <row r="352" s="448" customFormat="1" ht="15"/>
    <row r="353" s="448" customFormat="1" ht="15"/>
    <row r="354" s="448" customFormat="1" ht="15"/>
    <row r="355" s="448" customFormat="1" ht="15"/>
    <row r="356" s="448" customFormat="1" ht="15"/>
    <row r="357" s="448" customFormat="1" ht="15"/>
    <row r="358" s="448" customFormat="1" ht="15"/>
    <row r="359" s="448" customFormat="1" ht="15"/>
    <row r="360" s="448" customFormat="1" ht="15"/>
    <row r="361" s="448" customFormat="1" ht="15"/>
    <row r="362" s="448" customFormat="1" ht="15"/>
    <row r="363" s="448" customFormat="1" ht="15"/>
    <row r="364" s="448" customFormat="1" ht="15"/>
    <row r="365" s="448" customFormat="1" ht="15"/>
    <row r="366" s="448" customFormat="1" ht="15"/>
    <row r="367" s="448" customFormat="1" ht="15"/>
    <row r="368" s="448" customFormat="1" ht="15"/>
    <row r="369" s="448" customFormat="1" ht="15"/>
    <row r="370" s="448" customFormat="1" ht="15"/>
    <row r="371" s="448" customFormat="1" ht="15"/>
    <row r="372" s="448" customFormat="1" ht="15"/>
    <row r="373" s="448" customFormat="1" ht="15"/>
    <row r="374" s="448" customFormat="1" ht="15"/>
    <row r="375" s="448" customFormat="1" ht="15"/>
    <row r="376" s="448" customFormat="1" ht="15"/>
    <row r="377" s="448" customFormat="1" ht="15"/>
    <row r="378" s="448" customFormat="1" ht="15"/>
    <row r="379" s="448" customFormat="1" ht="15"/>
    <row r="380" s="448" customFormat="1" ht="15"/>
    <row r="381" s="448" customFormat="1" ht="15"/>
    <row r="382" s="448" customFormat="1" ht="15"/>
    <row r="383" s="448" customFormat="1" ht="15"/>
    <row r="384" s="448" customFormat="1" ht="15"/>
    <row r="385" s="448" customFormat="1" ht="15"/>
    <row r="386" s="448" customFormat="1" ht="15"/>
    <row r="387" s="448" customFormat="1" ht="15"/>
    <row r="388" s="448" customFormat="1" ht="15"/>
    <row r="389" s="448" customFormat="1" ht="15"/>
    <row r="390" s="448" customFormat="1" ht="15"/>
    <row r="391" s="448" customFormat="1" ht="15"/>
    <row r="392" s="448" customFormat="1" ht="15"/>
    <row r="393" s="448" customFormat="1" ht="15"/>
    <row r="394" s="448" customFormat="1" ht="15"/>
    <row r="395" s="448" customFormat="1" ht="15"/>
    <row r="396" s="448" customFormat="1" ht="15"/>
    <row r="397" s="448" customFormat="1" ht="15"/>
    <row r="398" s="448" customFormat="1" ht="15"/>
    <row r="399" s="448" customFormat="1" ht="15"/>
    <row r="400" s="448" customFormat="1" ht="15"/>
    <row r="401" s="448" customFormat="1" ht="15"/>
    <row r="402" s="448" customFormat="1" ht="15"/>
    <row r="403" s="448" customFormat="1" ht="15"/>
    <row r="404" s="448" customFormat="1" ht="15"/>
    <row r="405" s="448" customFormat="1" ht="15"/>
    <row r="406" s="448" customFormat="1" ht="15"/>
    <row r="407" s="448" customFormat="1" ht="15"/>
    <row r="408" s="448" customFormat="1" ht="15"/>
    <row r="409" s="448" customFormat="1" ht="15"/>
    <row r="410" s="448" customFormat="1" ht="15"/>
    <row r="411" s="448" customFormat="1" ht="15"/>
    <row r="412" s="448" customFormat="1" ht="15"/>
    <row r="413" s="448" customFormat="1" ht="15"/>
    <row r="414" s="448" customFormat="1" ht="15"/>
    <row r="415" s="448" customFormat="1" ht="15"/>
    <row r="416" s="448" customFormat="1" ht="15"/>
    <row r="417" s="448" customFormat="1" ht="15"/>
    <row r="418" s="448" customFormat="1" ht="15"/>
    <row r="419" s="448" customFormat="1" ht="15"/>
    <row r="420" s="448" customFormat="1" ht="15"/>
    <row r="421" s="448" customFormat="1" ht="15"/>
    <row r="422" s="448" customFormat="1" ht="15"/>
    <row r="423" s="448" customFormat="1" ht="15"/>
    <row r="424" s="448" customFormat="1" ht="15"/>
    <row r="425" s="448" customFormat="1" ht="15"/>
    <row r="426" s="448" customFormat="1" ht="15"/>
    <row r="427" s="448" customFormat="1" ht="15"/>
    <row r="428" s="448" customFormat="1" ht="15"/>
    <row r="429" s="448" customFormat="1" ht="15"/>
    <row r="430" s="448" customFormat="1" ht="15"/>
    <row r="431" s="448" customFormat="1" ht="15"/>
    <row r="432" s="448" customFormat="1" ht="15"/>
    <row r="433" s="448" customFormat="1" ht="15"/>
    <row r="434" s="448" customFormat="1" ht="15"/>
    <row r="435" s="448" customFormat="1" ht="15"/>
    <row r="436" s="448" customFormat="1" ht="15"/>
    <row r="437" s="448" customFormat="1" ht="15"/>
    <row r="438" s="448" customFormat="1" ht="15"/>
    <row r="439" s="448" customFormat="1" ht="15"/>
    <row r="440" s="448" customFormat="1" ht="15"/>
    <row r="441" s="448" customFormat="1" ht="15"/>
    <row r="442" s="448" customFormat="1" ht="15"/>
    <row r="443" s="448" customFormat="1" ht="15"/>
    <row r="444" s="448" customFormat="1" ht="15"/>
    <row r="445" s="448" customFormat="1" ht="15"/>
    <row r="446" s="448" customFormat="1" ht="15"/>
    <row r="447" s="448" customFormat="1" ht="15"/>
    <row r="448" s="448" customFormat="1" ht="15"/>
    <row r="449" s="448" customFormat="1" ht="15"/>
    <row r="450" s="448" customFormat="1" ht="15"/>
    <row r="451" s="448" customFormat="1" ht="15"/>
    <row r="452" s="448" customFormat="1" ht="15"/>
    <row r="453" s="448" customFormat="1" ht="15"/>
    <row r="454" s="448" customFormat="1" ht="15"/>
    <row r="455" s="448" customFormat="1" ht="15"/>
    <row r="456" s="448" customFormat="1" ht="15"/>
    <row r="457" s="448" customFormat="1" ht="15"/>
    <row r="458" s="448" customFormat="1" ht="15"/>
    <row r="459" s="448" customFormat="1" ht="15"/>
    <row r="460" s="448" customFormat="1" ht="15"/>
    <row r="461" s="448" customFormat="1" ht="15"/>
    <row r="462" s="448" customFormat="1" ht="15"/>
    <row r="463" s="448" customFormat="1" ht="15"/>
    <row r="464" s="448" customFormat="1" ht="15"/>
    <row r="465" s="448" customFormat="1" ht="15"/>
    <row r="466" s="448" customFormat="1" ht="15"/>
    <row r="467" s="448" customFormat="1" ht="15"/>
    <row r="468" s="448" customFormat="1" ht="15"/>
    <row r="469" s="448" customFormat="1" ht="15"/>
    <row r="470" s="448" customFormat="1" ht="15"/>
    <row r="471" s="448" customFormat="1" ht="15"/>
    <row r="472" s="448" customFormat="1" ht="15"/>
    <row r="473" s="448" customFormat="1" ht="15"/>
    <row r="474" s="448" customFormat="1" ht="15"/>
    <row r="475" s="448" customFormat="1" ht="15"/>
    <row r="476" s="448" customFormat="1" ht="15"/>
    <row r="477" s="448" customFormat="1" ht="15"/>
  </sheetData>
  <sheetProtection/>
  <mergeCells count="117">
    <mergeCell ref="C68:G68"/>
    <mergeCell ref="I68:M68"/>
    <mergeCell ref="Q68:U68"/>
    <mergeCell ref="W68:AA68"/>
    <mergeCell ref="AE68:AI68"/>
    <mergeCell ref="AK68:AO68"/>
    <mergeCell ref="C60:G60"/>
    <mergeCell ref="I60:M60"/>
    <mergeCell ref="Q60:U60"/>
    <mergeCell ref="W60:AA60"/>
    <mergeCell ref="AE60:AI60"/>
    <mergeCell ref="AK60:AO60"/>
    <mergeCell ref="C49:G49"/>
    <mergeCell ref="Q49:U49"/>
    <mergeCell ref="AE49:AI49"/>
    <mergeCell ref="F56:F57"/>
    <mergeCell ref="G56:G57"/>
    <mergeCell ref="T56:T57"/>
    <mergeCell ref="U56:U57"/>
    <mergeCell ref="AH56:AH57"/>
    <mergeCell ref="AI56:AI57"/>
    <mergeCell ref="Z46:Z47"/>
    <mergeCell ref="AA46:AA47"/>
    <mergeCell ref="AH46:AH47"/>
    <mergeCell ref="AI46:AI47"/>
    <mergeCell ref="AN46:AN47"/>
    <mergeCell ref="AO46:AO47"/>
    <mergeCell ref="F46:F47"/>
    <mergeCell ref="G46:G47"/>
    <mergeCell ref="L46:L47"/>
    <mergeCell ref="M46:M47"/>
    <mergeCell ref="T46:T47"/>
    <mergeCell ref="U46:U47"/>
    <mergeCell ref="C39:G39"/>
    <mergeCell ref="I39:M39"/>
    <mergeCell ref="Q39:U39"/>
    <mergeCell ref="W39:AA39"/>
    <mergeCell ref="AE39:AI39"/>
    <mergeCell ref="AK39:AO39"/>
    <mergeCell ref="Z36:Z37"/>
    <mergeCell ref="AA36:AA37"/>
    <mergeCell ref="AH36:AH37"/>
    <mergeCell ref="AI36:AI37"/>
    <mergeCell ref="AN36:AN37"/>
    <mergeCell ref="AO36:AO37"/>
    <mergeCell ref="F36:F37"/>
    <mergeCell ref="G36:G37"/>
    <mergeCell ref="L36:L37"/>
    <mergeCell ref="M36:M37"/>
    <mergeCell ref="T36:T37"/>
    <mergeCell ref="U36:U37"/>
    <mergeCell ref="C27:M27"/>
    <mergeCell ref="Q27:AA27"/>
    <mergeCell ref="AE27:AO27"/>
    <mergeCell ref="C29:G29"/>
    <mergeCell ref="I29:M29"/>
    <mergeCell ref="Q29:U29"/>
    <mergeCell ref="W29:AA29"/>
    <mergeCell ref="AE29:AI29"/>
    <mergeCell ref="AK29:AO29"/>
    <mergeCell ref="I22:K23"/>
    <mergeCell ref="W22:Y23"/>
    <mergeCell ref="AK22:AM23"/>
    <mergeCell ref="I21:M21"/>
    <mergeCell ref="W21:AA21"/>
    <mergeCell ref="AK21:AO21"/>
    <mergeCell ref="C18:E19"/>
    <mergeCell ref="I18:K19"/>
    <mergeCell ref="Q18:S19"/>
    <mergeCell ref="W18:Y19"/>
    <mergeCell ref="AE18:AG19"/>
    <mergeCell ref="AK18:AM19"/>
    <mergeCell ref="C16:E17"/>
    <mergeCell ref="Q16:S17"/>
    <mergeCell ref="AE16:AG17"/>
    <mergeCell ref="I17:M17"/>
    <mergeCell ref="W17:AA17"/>
    <mergeCell ref="AK17:AO17"/>
    <mergeCell ref="C14:E15"/>
    <mergeCell ref="I14:K15"/>
    <mergeCell ref="Q14:S15"/>
    <mergeCell ref="W14:Y15"/>
    <mergeCell ref="AE14:AG15"/>
    <mergeCell ref="AK14:AM15"/>
    <mergeCell ref="C13:G13"/>
    <mergeCell ref="I13:M13"/>
    <mergeCell ref="Q13:U13"/>
    <mergeCell ref="W13:AA13"/>
    <mergeCell ref="AE13:AI13"/>
    <mergeCell ref="AK13:AO13"/>
    <mergeCell ref="C10:E11"/>
    <mergeCell ref="I10:K11"/>
    <mergeCell ref="Q10:S11"/>
    <mergeCell ref="W10:Y11"/>
    <mergeCell ref="AE10:AG11"/>
    <mergeCell ref="AK10:AM11"/>
    <mergeCell ref="C9:G9"/>
    <mergeCell ref="I9:M9"/>
    <mergeCell ref="Q9:U9"/>
    <mergeCell ref="W9:AA9"/>
    <mergeCell ref="AE9:AI9"/>
    <mergeCell ref="AK9:AO9"/>
    <mergeCell ref="C6:E7"/>
    <mergeCell ref="I6:K7"/>
    <mergeCell ref="Q6:S7"/>
    <mergeCell ref="W6:Y7"/>
    <mergeCell ref="AE6:AG7"/>
    <mergeCell ref="AK6:AM7"/>
    <mergeCell ref="C3:M3"/>
    <mergeCell ref="Q3:AA3"/>
    <mergeCell ref="AE3:AO3"/>
    <mergeCell ref="C5:G5"/>
    <mergeCell ref="I5:M5"/>
    <mergeCell ref="Q5:U5"/>
    <mergeCell ref="W5:AA5"/>
    <mergeCell ref="AE5:AI5"/>
    <mergeCell ref="AK5:AO5"/>
  </mergeCells>
  <printOptions/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J21"/>
  <sheetViews>
    <sheetView zoomScale="90" zoomScaleNormal="90" workbookViewId="0" topLeftCell="A1">
      <selection activeCell="C8" sqref="C8:C9"/>
    </sheetView>
  </sheetViews>
  <sheetFormatPr defaultColWidth="9.140625" defaultRowHeight="15"/>
  <cols>
    <col min="1" max="1" width="9.140625" style="150" customWidth="1"/>
    <col min="2" max="2" width="3.7109375" style="150" customWidth="1"/>
    <col min="3" max="3" width="35.7109375" style="150" customWidth="1"/>
    <col min="4" max="4" width="13.8515625" style="150" customWidth="1"/>
    <col min="5" max="5" width="13.7109375" style="150" customWidth="1"/>
    <col min="6" max="6" width="15.7109375" style="150" customWidth="1"/>
    <col min="7" max="7" width="14.8515625" style="150" customWidth="1"/>
    <col min="8" max="8" width="13.7109375" style="150" customWidth="1"/>
    <col min="9" max="9" width="14.57421875" style="150" customWidth="1"/>
    <col min="10" max="10" width="14.28125" style="150" customWidth="1"/>
    <col min="11" max="16384" width="9.140625" style="150" customWidth="1"/>
  </cols>
  <sheetData>
    <row r="1" s="147" customFormat="1" ht="15.75" thickBot="1"/>
    <row r="2" spans="2:9" s="147" customFormat="1" ht="15.75" thickTop="1">
      <c r="B2" s="467"/>
      <c r="C2" s="468"/>
      <c r="D2" s="468"/>
      <c r="E2" s="468"/>
      <c r="F2" s="468"/>
      <c r="G2" s="468"/>
      <c r="H2" s="468"/>
      <c r="I2" s="469"/>
    </row>
    <row r="3" spans="2:9" s="147" customFormat="1" ht="18.75">
      <c r="B3" s="470"/>
      <c r="C3" s="690" t="s">
        <v>175</v>
      </c>
      <c r="D3" s="691"/>
      <c r="E3" s="691"/>
      <c r="F3" s="691"/>
      <c r="G3" s="691"/>
      <c r="H3" s="692"/>
      <c r="I3" s="471"/>
    </row>
    <row r="4" spans="2:9" s="147" customFormat="1" ht="18.75">
      <c r="B4" s="470"/>
      <c r="C4" s="693" t="s">
        <v>199</v>
      </c>
      <c r="D4" s="694"/>
      <c r="E4" s="694"/>
      <c r="F4" s="694"/>
      <c r="G4" s="694"/>
      <c r="H4" s="695"/>
      <c r="I4" s="471"/>
    </row>
    <row r="5" spans="2:9" s="147" customFormat="1" ht="15">
      <c r="B5" s="470"/>
      <c r="C5" s="472"/>
      <c r="D5" s="473"/>
      <c r="E5" s="473"/>
      <c r="F5" s="473"/>
      <c r="G5" s="473"/>
      <c r="H5" s="473"/>
      <c r="I5" s="471"/>
    </row>
    <row r="6" spans="2:9" s="147" customFormat="1" ht="18" customHeight="1">
      <c r="B6" s="470"/>
      <c r="C6" s="473"/>
      <c r="D6" s="696" t="s">
        <v>176</v>
      </c>
      <c r="E6" s="697"/>
      <c r="F6" s="697"/>
      <c r="G6" s="697"/>
      <c r="H6" s="698"/>
      <c r="I6" s="474"/>
    </row>
    <row r="7" spans="2:9" s="147" customFormat="1" ht="18">
      <c r="B7" s="470"/>
      <c r="C7" s="473"/>
      <c r="D7" s="475" t="s">
        <v>177</v>
      </c>
      <c r="E7" s="476" t="s">
        <v>178</v>
      </c>
      <c r="F7" s="476" t="s">
        <v>3</v>
      </c>
      <c r="G7" s="476" t="s">
        <v>179</v>
      </c>
      <c r="H7" s="477" t="s">
        <v>70</v>
      </c>
      <c r="I7" s="471"/>
    </row>
    <row r="8" spans="2:9" s="484" customFormat="1" ht="19.5" customHeight="1">
      <c r="B8" s="478"/>
      <c r="C8" s="479" t="s">
        <v>209</v>
      </c>
      <c r="D8" s="480">
        <v>45</v>
      </c>
      <c r="E8" s="481">
        <v>513</v>
      </c>
      <c r="F8" s="481">
        <v>1526</v>
      </c>
      <c r="G8" s="481">
        <v>51</v>
      </c>
      <c r="H8" s="482">
        <v>25</v>
      </c>
      <c r="I8" s="483"/>
    </row>
    <row r="9" spans="2:9" s="484" customFormat="1" ht="19.5" customHeight="1">
      <c r="B9" s="478"/>
      <c r="C9" s="501" t="s">
        <v>210</v>
      </c>
      <c r="D9" s="485">
        <v>13</v>
      </c>
      <c r="E9" s="486">
        <v>420</v>
      </c>
      <c r="F9" s="486">
        <v>1651</v>
      </c>
      <c r="G9" s="486">
        <v>50</v>
      </c>
      <c r="H9" s="487">
        <v>8</v>
      </c>
      <c r="I9" s="483"/>
    </row>
    <row r="10" spans="2:9" s="484" customFormat="1" ht="19.5" customHeight="1">
      <c r="B10" s="488"/>
      <c r="C10" s="494" t="s">
        <v>180</v>
      </c>
      <c r="D10" s="544">
        <f>D9/D8-1</f>
        <v>-0.7111111111111111</v>
      </c>
      <c r="E10" s="545">
        <f>E9/E8-1</f>
        <v>-0.18128654970760238</v>
      </c>
      <c r="F10" s="545">
        <f>F9/F8-1</f>
        <v>0.08191349934469194</v>
      </c>
      <c r="G10" s="545">
        <f>G9/G8-1</f>
        <v>-0.019607843137254943</v>
      </c>
      <c r="H10" s="546">
        <f>H9/H8-1</f>
        <v>-0.6799999999999999</v>
      </c>
      <c r="I10" s="493"/>
    </row>
    <row r="11" spans="2:9" s="147" customFormat="1" ht="15.75" thickBot="1">
      <c r="B11" s="495"/>
      <c r="C11" s="496" t="s">
        <v>205</v>
      </c>
      <c r="D11" s="496"/>
      <c r="E11" s="496"/>
      <c r="F11" s="496"/>
      <c r="G11" s="496"/>
      <c r="H11" s="496"/>
      <c r="I11" s="497"/>
    </row>
    <row r="12" s="147" customFormat="1" ht="15.75" thickTop="1"/>
    <row r="13" s="147" customFormat="1" ht="15"/>
    <row r="14" spans="1:3" s="147" customFormat="1" ht="19.5" thickBot="1">
      <c r="A14" s="572" t="s">
        <v>193</v>
      </c>
      <c r="C14" s="148"/>
    </row>
    <row r="15" spans="1:10" s="147" customFormat="1" ht="18.75">
      <c r="A15" s="283" t="s">
        <v>52</v>
      </c>
      <c r="B15" s="212"/>
      <c r="C15" s="172"/>
      <c r="D15" s="573" t="s">
        <v>177</v>
      </c>
      <c r="E15" s="573" t="s">
        <v>178</v>
      </c>
      <c r="F15" s="573" t="s">
        <v>3</v>
      </c>
      <c r="G15" s="573" t="s">
        <v>179</v>
      </c>
      <c r="H15" s="573" t="s">
        <v>70</v>
      </c>
      <c r="I15" s="573" t="s">
        <v>195</v>
      </c>
      <c r="J15" s="574" t="s">
        <v>196</v>
      </c>
    </row>
    <row r="16" spans="1:10" s="147" customFormat="1" ht="15.75">
      <c r="A16" s="176" t="s">
        <v>100</v>
      </c>
      <c r="B16" s="213" t="s">
        <v>129</v>
      </c>
      <c r="C16" s="124"/>
      <c r="D16" s="575" t="s">
        <v>197</v>
      </c>
      <c r="E16" s="575" t="s">
        <v>197</v>
      </c>
      <c r="F16" s="575" t="s">
        <v>197</v>
      </c>
      <c r="G16" s="575" t="s">
        <v>197</v>
      </c>
      <c r="H16" s="575" t="s">
        <v>197</v>
      </c>
      <c r="I16" s="575" t="s">
        <v>197</v>
      </c>
      <c r="J16" s="576" t="s">
        <v>197</v>
      </c>
    </row>
    <row r="17" spans="1:10" s="1" customFormat="1" ht="15">
      <c r="A17" s="610" t="s">
        <v>130</v>
      </c>
      <c r="B17" s="611"/>
      <c r="C17" s="699"/>
      <c r="D17" s="548">
        <f>'Summary-PSD'!F8</f>
        <v>0.73925</v>
      </c>
      <c r="E17" s="549">
        <f>'Summary-PSD'!G8</f>
        <v>328.75</v>
      </c>
      <c r="F17" s="549">
        <f>'Summary-PSD'!H8</f>
        <v>286.921</v>
      </c>
      <c r="G17" s="548">
        <f>'Summary-PSD'!I8</f>
        <v>7.81287</v>
      </c>
      <c r="H17" s="548">
        <f>'Summary-PSD'!J8</f>
        <v>5.684535</v>
      </c>
      <c r="I17" s="548">
        <f>'Summary-PSD'!K8</f>
        <v>5.52536802</v>
      </c>
      <c r="J17" s="577">
        <f>'Summary-PSD'!L8</f>
        <v>3.3083993700000005</v>
      </c>
    </row>
    <row r="18" spans="1:10" s="148" customFormat="1" ht="15">
      <c r="A18" s="578"/>
      <c r="B18" s="540"/>
      <c r="C18" s="275" t="s">
        <v>194</v>
      </c>
      <c r="D18" s="550">
        <f>D10</f>
        <v>-0.7111111111111111</v>
      </c>
      <c r="E18" s="550">
        <f>E10</f>
        <v>-0.18128654970760238</v>
      </c>
      <c r="F18" s="550">
        <f>F10</f>
        <v>0.08191349934469194</v>
      </c>
      <c r="G18" s="550">
        <f>G10</f>
        <v>-0.019607843137254943</v>
      </c>
      <c r="H18" s="550">
        <f>H10</f>
        <v>-0.6799999999999999</v>
      </c>
      <c r="I18" s="550">
        <f>H18</f>
        <v>-0.6799999999999999</v>
      </c>
      <c r="J18" s="579">
        <f>I18</f>
        <v>-0.6799999999999999</v>
      </c>
    </row>
    <row r="19" spans="1:10" s="148" customFormat="1" ht="15.75" thickBot="1">
      <c r="A19" s="580"/>
      <c r="B19" s="581"/>
      <c r="C19" s="582" t="s">
        <v>198</v>
      </c>
      <c r="D19" s="583">
        <f>(1+D18)*D17</f>
        <v>0.2135611111111111</v>
      </c>
      <c r="E19" s="584">
        <f aca="true" t="shared" si="0" ref="E19:J19">(1+E18)*E17</f>
        <v>269.15204678362574</v>
      </c>
      <c r="F19" s="584">
        <f t="shared" si="0"/>
        <v>310.4237031454783</v>
      </c>
      <c r="G19" s="583">
        <f t="shared" si="0"/>
        <v>7.659676470588235</v>
      </c>
      <c r="H19" s="583">
        <f t="shared" si="0"/>
        <v>1.8190512000000005</v>
      </c>
      <c r="I19" s="583">
        <f t="shared" si="0"/>
        <v>1.7681177664000003</v>
      </c>
      <c r="J19" s="585">
        <f t="shared" si="0"/>
        <v>1.0586877984000003</v>
      </c>
    </row>
    <row r="20" spans="1:10" s="148" customFormat="1" ht="15">
      <c r="A20" s="540"/>
      <c r="B20" s="540"/>
      <c r="C20" s="547" t="s">
        <v>201</v>
      </c>
      <c r="D20" s="543"/>
      <c r="E20" s="543"/>
      <c r="F20" s="543"/>
      <c r="G20" s="543"/>
      <c r="H20" s="543"/>
      <c r="I20" s="543"/>
      <c r="J20" s="543"/>
    </row>
    <row r="21" spans="1:10" s="148" customFormat="1" ht="15">
      <c r="A21" s="540"/>
      <c r="B21" s="540"/>
      <c r="C21" s="275"/>
      <c r="D21" s="541"/>
      <c r="E21" s="542"/>
      <c r="F21" s="542"/>
      <c r="G21" s="541"/>
      <c r="H21" s="541"/>
      <c r="I21" s="541"/>
      <c r="J21" s="541"/>
    </row>
  </sheetData>
  <sheetProtection/>
  <mergeCells count="4">
    <mergeCell ref="C3:H3"/>
    <mergeCell ref="C4:H4"/>
    <mergeCell ref="D6:H6"/>
    <mergeCell ref="A17:C17"/>
  </mergeCells>
  <printOptions/>
  <pageMargins left="0.7" right="0.7" top="0.75" bottom="0.75" header="0.3" footer="0.3"/>
  <pageSetup horizontalDpi="600" verticalDpi="600" orientation="portrait" scale="51" r:id="rId1"/>
  <rowBreaks count="1" manualBreakCount="1">
    <brk id="25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B2:I13"/>
  <sheetViews>
    <sheetView zoomScale="90" zoomScaleNormal="90" workbookViewId="0" topLeftCell="A1">
      <selection activeCell="C8" sqref="C8:C9"/>
    </sheetView>
  </sheetViews>
  <sheetFormatPr defaultColWidth="9.140625" defaultRowHeight="15"/>
  <cols>
    <col min="1" max="1" width="9.140625" style="150" customWidth="1"/>
    <col min="2" max="2" width="3.7109375" style="150" customWidth="1"/>
    <col min="3" max="3" width="35.7109375" style="150" customWidth="1"/>
    <col min="4" max="8" width="17.7109375" style="150" customWidth="1"/>
    <col min="9" max="9" width="3.7109375" style="150" customWidth="1"/>
    <col min="10" max="16384" width="9.140625" style="150" customWidth="1"/>
  </cols>
  <sheetData>
    <row r="1" s="147" customFormat="1" ht="15.75" thickBot="1"/>
    <row r="2" spans="2:9" s="147" customFormat="1" ht="15.75" thickTop="1">
      <c r="B2" s="467"/>
      <c r="C2" s="468"/>
      <c r="D2" s="468"/>
      <c r="E2" s="468"/>
      <c r="F2" s="468"/>
      <c r="G2" s="468"/>
      <c r="H2" s="468"/>
      <c r="I2" s="469"/>
    </row>
    <row r="3" spans="2:9" s="147" customFormat="1" ht="18.75">
      <c r="B3" s="470"/>
      <c r="C3" s="690" t="s">
        <v>181</v>
      </c>
      <c r="D3" s="691"/>
      <c r="E3" s="691"/>
      <c r="F3" s="691"/>
      <c r="G3" s="691"/>
      <c r="H3" s="692"/>
      <c r="I3" s="471"/>
    </row>
    <row r="4" spans="2:9" s="147" customFormat="1" ht="18.75">
      <c r="B4" s="470"/>
      <c r="C4" s="700" t="s">
        <v>206</v>
      </c>
      <c r="D4" s="701"/>
      <c r="E4" s="701"/>
      <c r="F4" s="701"/>
      <c r="G4" s="701"/>
      <c r="H4" s="702"/>
      <c r="I4" s="471"/>
    </row>
    <row r="5" spans="2:9" s="147" customFormat="1" ht="15">
      <c r="B5" s="470"/>
      <c r="C5" s="472"/>
      <c r="D5" s="473"/>
      <c r="E5" s="473"/>
      <c r="F5" s="473"/>
      <c r="G5" s="473"/>
      <c r="H5" s="473"/>
      <c r="I5" s="471"/>
    </row>
    <row r="6" spans="2:9" s="147" customFormat="1" ht="18" customHeight="1">
      <c r="B6" s="470"/>
      <c r="C6" s="473"/>
      <c r="D6" s="696" t="s">
        <v>176</v>
      </c>
      <c r="E6" s="697"/>
      <c r="F6" s="697"/>
      <c r="G6" s="697"/>
      <c r="H6" s="698"/>
      <c r="I6" s="474"/>
    </row>
    <row r="7" spans="2:9" s="147" customFormat="1" ht="18">
      <c r="B7" s="470"/>
      <c r="C7" s="473"/>
      <c r="D7" s="475" t="s">
        <v>177</v>
      </c>
      <c r="E7" s="476" t="s">
        <v>178</v>
      </c>
      <c r="F7" s="476" t="s">
        <v>3</v>
      </c>
      <c r="G7" s="476" t="s">
        <v>179</v>
      </c>
      <c r="H7" s="477" t="s">
        <v>70</v>
      </c>
      <c r="I7" s="471"/>
    </row>
    <row r="8" spans="2:9" s="484" customFormat="1" ht="19.5" customHeight="1">
      <c r="B8" s="478"/>
      <c r="C8" s="479" t="s">
        <v>209</v>
      </c>
      <c r="D8" s="498">
        <v>0.0329</v>
      </c>
      <c r="E8" s="499">
        <v>2.746</v>
      </c>
      <c r="F8" s="499">
        <v>1.7828</v>
      </c>
      <c r="G8" s="499">
        <v>0.0971</v>
      </c>
      <c r="H8" s="500">
        <v>0.0624</v>
      </c>
      <c r="I8" s="483"/>
    </row>
    <row r="9" spans="2:9" s="484" customFormat="1" ht="19.5" customHeight="1">
      <c r="B9" s="478"/>
      <c r="C9" s="501" t="s">
        <v>210</v>
      </c>
      <c r="D9" s="502">
        <v>0.0065</v>
      </c>
      <c r="E9" s="503">
        <v>1.847</v>
      </c>
      <c r="F9" s="503">
        <v>1.695</v>
      </c>
      <c r="G9" s="503">
        <v>0.058</v>
      </c>
      <c r="H9" s="504">
        <v>0.05</v>
      </c>
      <c r="I9" s="483"/>
    </row>
    <row r="10" spans="2:9" s="484" customFormat="1" ht="19.5" customHeight="1">
      <c r="B10" s="488"/>
      <c r="C10" s="586" t="s">
        <v>180</v>
      </c>
      <c r="D10" s="587">
        <f>D9/D8-1</f>
        <v>-0.8024316109422492</v>
      </c>
      <c r="E10" s="588">
        <f>E9/E8-1</f>
        <v>-0.32738528769118724</v>
      </c>
      <c r="F10" s="588">
        <f>F9/F8-1</f>
        <v>-0.04924837334529941</v>
      </c>
      <c r="G10" s="588">
        <f>G9/G8-1</f>
        <v>-0.4026776519052523</v>
      </c>
      <c r="H10" s="589">
        <f>H9/H8-1</f>
        <v>-0.19871794871794868</v>
      </c>
      <c r="I10" s="493"/>
    </row>
    <row r="11" spans="2:9" s="147" customFormat="1" ht="15.75" thickBot="1">
      <c r="B11" s="495"/>
      <c r="C11" s="496" t="s">
        <v>205</v>
      </c>
      <c r="D11" s="496"/>
      <c r="E11" s="496"/>
      <c r="F11" s="496"/>
      <c r="G11" s="496"/>
      <c r="H11" s="496"/>
      <c r="I11" s="497"/>
    </row>
    <row r="12" s="147" customFormat="1" ht="15.75" thickTop="1"/>
    <row r="13" s="1" customFormat="1" ht="15">
      <c r="C13" s="1" t="s">
        <v>202</v>
      </c>
    </row>
  </sheetData>
  <sheetProtection/>
  <mergeCells count="3">
    <mergeCell ref="C3:H3"/>
    <mergeCell ref="C4:H4"/>
    <mergeCell ref="D6:H6"/>
  </mergeCells>
  <printOptions/>
  <pageMargins left="0.7" right="0.7" top="0.75" bottom="0.75" header="0.3" footer="0.3"/>
  <pageSetup horizontalDpi="600" verticalDpi="600" orientation="portrait" scale="5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K14"/>
  <sheetViews>
    <sheetView zoomScale="90" zoomScaleNormal="90" zoomScalePageLayoutView="0" workbookViewId="0" topLeftCell="A1">
      <selection activeCell="C8" sqref="C8:C9"/>
    </sheetView>
  </sheetViews>
  <sheetFormatPr defaultColWidth="9.140625" defaultRowHeight="15"/>
  <cols>
    <col min="1" max="1" width="9.140625" style="523" customWidth="1"/>
    <col min="2" max="2" width="3.7109375" style="523" customWidth="1"/>
    <col min="3" max="3" width="35.7109375" style="523" customWidth="1"/>
    <col min="4" max="8" width="17.7109375" style="523" customWidth="1"/>
    <col min="9" max="9" width="3.7109375" style="523" customWidth="1"/>
    <col min="10" max="10" width="9.140625" style="523" customWidth="1"/>
    <col min="11" max="11" width="11.57421875" style="523" bestFit="1" customWidth="1"/>
    <col min="12" max="16384" width="9.140625" style="523" customWidth="1"/>
  </cols>
  <sheetData>
    <row r="1" s="147" customFormat="1" ht="15.75" thickBot="1"/>
    <row r="2" spans="2:9" s="147" customFormat="1" ht="15.75" thickTop="1">
      <c r="B2" s="467"/>
      <c r="C2" s="468"/>
      <c r="D2" s="468"/>
      <c r="E2" s="468"/>
      <c r="F2" s="468"/>
      <c r="G2" s="468"/>
      <c r="H2" s="468"/>
      <c r="I2" s="469"/>
    </row>
    <row r="3" spans="2:9" s="147" customFormat="1" ht="18.75">
      <c r="B3" s="470"/>
      <c r="C3" s="690" t="s">
        <v>190</v>
      </c>
      <c r="D3" s="691"/>
      <c r="E3" s="691"/>
      <c r="F3" s="691"/>
      <c r="G3" s="691"/>
      <c r="H3" s="692"/>
      <c r="I3" s="471"/>
    </row>
    <row r="4" spans="2:9" s="147" customFormat="1" ht="18.75">
      <c r="B4" s="470"/>
      <c r="C4" s="700" t="s">
        <v>191</v>
      </c>
      <c r="D4" s="701"/>
      <c r="E4" s="701"/>
      <c r="F4" s="701"/>
      <c r="G4" s="701"/>
      <c r="H4" s="702"/>
      <c r="I4" s="471"/>
    </row>
    <row r="5" spans="2:9" s="147" customFormat="1" ht="15">
      <c r="B5" s="470"/>
      <c r="C5" s="472"/>
      <c r="D5" s="473"/>
      <c r="E5" s="473"/>
      <c r="F5" s="473"/>
      <c r="G5" s="473"/>
      <c r="H5" s="473"/>
      <c r="I5" s="471"/>
    </row>
    <row r="6" spans="2:11" s="147" customFormat="1" ht="18" customHeight="1">
      <c r="B6" s="470"/>
      <c r="C6" s="526"/>
      <c r="D6" s="696" t="s">
        <v>176</v>
      </c>
      <c r="E6" s="697"/>
      <c r="F6" s="697"/>
      <c r="G6" s="697"/>
      <c r="H6" s="698"/>
      <c r="I6" s="474"/>
      <c r="K6" s="41"/>
    </row>
    <row r="7" spans="2:11" s="484" customFormat="1" ht="19.5" customHeight="1">
      <c r="B7" s="488"/>
      <c r="C7" s="527"/>
      <c r="D7" s="475" t="s">
        <v>177</v>
      </c>
      <c r="E7" s="476" t="s">
        <v>178</v>
      </c>
      <c r="F7" s="476" t="s">
        <v>3</v>
      </c>
      <c r="G7" s="476" t="s">
        <v>179</v>
      </c>
      <c r="H7" s="477" t="s">
        <v>70</v>
      </c>
      <c r="I7" s="471"/>
      <c r="K7" s="528"/>
    </row>
    <row r="8" spans="2:9" s="484" customFormat="1" ht="19.5" customHeight="1">
      <c r="B8" s="478"/>
      <c r="C8" s="479" t="s">
        <v>209</v>
      </c>
      <c r="D8" s="529">
        <v>42.22</v>
      </c>
      <c r="E8" s="530">
        <v>37.57</v>
      </c>
      <c r="F8" s="530">
        <v>20</v>
      </c>
      <c r="G8" s="530">
        <v>1.54</v>
      </c>
      <c r="H8" s="531">
        <v>2.34</v>
      </c>
      <c r="I8" s="483"/>
    </row>
    <row r="9" spans="2:9" s="484" customFormat="1" ht="19.5" customHeight="1">
      <c r="B9" s="478"/>
      <c r="C9" s="501" t="s">
        <v>210</v>
      </c>
      <c r="D9" s="532">
        <v>45</v>
      </c>
      <c r="E9" s="533">
        <v>39.8</v>
      </c>
      <c r="F9" s="533">
        <v>18.6</v>
      </c>
      <c r="G9" s="533">
        <v>2.02</v>
      </c>
      <c r="H9" s="534">
        <v>3.35</v>
      </c>
      <c r="I9" s="483"/>
    </row>
    <row r="10" spans="2:9" s="484" customFormat="1" ht="19.5" customHeight="1">
      <c r="B10" s="488"/>
      <c r="C10" s="489" t="s">
        <v>180</v>
      </c>
      <c r="D10" s="490">
        <f>D9/D8-1</f>
        <v>0.06584557081951692</v>
      </c>
      <c r="E10" s="491">
        <f>E9/E8-1</f>
        <v>0.05935586904445023</v>
      </c>
      <c r="F10" s="491">
        <f>F9/F8-1</f>
        <v>-0.06999999999999995</v>
      </c>
      <c r="G10" s="491">
        <f>G9/G8-1</f>
        <v>0.31168831168831157</v>
      </c>
      <c r="H10" s="492">
        <f>H9/H8-1</f>
        <v>0.43162393162393164</v>
      </c>
      <c r="I10" s="493"/>
    </row>
    <row r="11" spans="2:9" s="147" customFormat="1" ht="15.75">
      <c r="B11" s="525"/>
      <c r="C11" s="535"/>
      <c r="D11" s="536"/>
      <c r="E11" s="537"/>
      <c r="F11" s="536"/>
      <c r="G11" s="536"/>
      <c r="H11" s="536"/>
      <c r="I11" s="514"/>
    </row>
    <row r="12" spans="2:9" s="147" customFormat="1" ht="15.75" thickBot="1">
      <c r="B12" s="495"/>
      <c r="C12" s="496" t="s">
        <v>205</v>
      </c>
      <c r="D12" s="515"/>
      <c r="E12" s="515"/>
      <c r="F12" s="515"/>
      <c r="G12" s="515"/>
      <c r="H12" s="515"/>
      <c r="I12" s="215"/>
    </row>
    <row r="13" s="147" customFormat="1" ht="15.75" thickTop="1">
      <c r="I13" s="538"/>
    </row>
    <row r="14" s="1" customFormat="1" ht="15">
      <c r="C14" s="1" t="s">
        <v>202</v>
      </c>
    </row>
  </sheetData>
  <sheetProtection/>
  <mergeCells count="3">
    <mergeCell ref="C3:H3"/>
    <mergeCell ref="C4:H4"/>
    <mergeCell ref="D6:H6"/>
  </mergeCells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I14"/>
  <sheetViews>
    <sheetView zoomScale="90" zoomScaleNormal="90" zoomScalePageLayoutView="0" workbookViewId="0" topLeftCell="A1">
      <selection activeCell="C8" sqref="C8:C9"/>
    </sheetView>
  </sheetViews>
  <sheetFormatPr defaultColWidth="9.140625" defaultRowHeight="15"/>
  <cols>
    <col min="1" max="1" width="9.140625" style="150" customWidth="1"/>
    <col min="2" max="2" width="3.7109375" style="150" customWidth="1"/>
    <col min="3" max="3" width="35.7109375" style="150" customWidth="1"/>
    <col min="4" max="8" width="17.7109375" style="150" customWidth="1"/>
    <col min="9" max="9" width="3.7109375" style="150" customWidth="1"/>
    <col min="10" max="16384" width="9.140625" style="150" customWidth="1"/>
  </cols>
  <sheetData>
    <row r="1" s="147" customFormat="1" ht="15.75" thickBot="1"/>
    <row r="2" spans="2:9" s="147" customFormat="1" ht="15.75" thickTop="1">
      <c r="B2" s="467"/>
      <c r="C2" s="468"/>
      <c r="D2" s="468"/>
      <c r="E2" s="468"/>
      <c r="F2" s="468"/>
      <c r="G2" s="468"/>
      <c r="H2" s="468"/>
      <c r="I2" s="469"/>
    </row>
    <row r="3" spans="2:9" s="147" customFormat="1" ht="18.75">
      <c r="B3" s="470"/>
      <c r="C3" s="690" t="s">
        <v>182</v>
      </c>
      <c r="D3" s="691"/>
      <c r="E3" s="691"/>
      <c r="F3" s="691"/>
      <c r="G3" s="691"/>
      <c r="H3" s="692"/>
      <c r="I3" s="471"/>
    </row>
    <row r="4" spans="2:9" s="147" customFormat="1" ht="18.75">
      <c r="B4" s="470"/>
      <c r="C4" s="700" t="s">
        <v>207</v>
      </c>
      <c r="D4" s="701"/>
      <c r="E4" s="701"/>
      <c r="F4" s="701"/>
      <c r="G4" s="701"/>
      <c r="H4" s="702"/>
      <c r="I4" s="471"/>
    </row>
    <row r="5" spans="2:9" s="147" customFormat="1" ht="15">
      <c r="B5" s="470"/>
      <c r="C5" s="472"/>
      <c r="D5" s="473"/>
      <c r="E5" s="473"/>
      <c r="F5" s="473"/>
      <c r="G5" s="473"/>
      <c r="H5" s="473"/>
      <c r="I5" s="471"/>
    </row>
    <row r="6" spans="2:9" s="147" customFormat="1" ht="18" customHeight="1">
      <c r="B6" s="470"/>
      <c r="C6" s="473"/>
      <c r="D6" s="696" t="s">
        <v>176</v>
      </c>
      <c r="E6" s="697"/>
      <c r="F6" s="697"/>
      <c r="G6" s="697"/>
      <c r="H6" s="698"/>
      <c r="I6" s="474"/>
    </row>
    <row r="7" spans="2:9" s="147" customFormat="1" ht="18">
      <c r="B7" s="470"/>
      <c r="C7" s="505"/>
      <c r="D7" s="475" t="s">
        <v>177</v>
      </c>
      <c r="E7" s="476" t="s">
        <v>178</v>
      </c>
      <c r="F7" s="476" t="s">
        <v>3</v>
      </c>
      <c r="G7" s="476" t="s">
        <v>179</v>
      </c>
      <c r="H7" s="477" t="s">
        <v>70</v>
      </c>
      <c r="I7" s="471"/>
    </row>
    <row r="8" spans="2:9" s="484" customFormat="1" ht="19.5" customHeight="1">
      <c r="B8" s="478"/>
      <c r="C8" s="479" t="s">
        <v>209</v>
      </c>
      <c r="D8" s="506">
        <v>166</v>
      </c>
      <c r="E8" s="507">
        <v>162</v>
      </c>
      <c r="F8" s="507">
        <v>915</v>
      </c>
      <c r="G8" s="508" t="s">
        <v>0</v>
      </c>
      <c r="H8" s="509">
        <v>1.64</v>
      </c>
      <c r="I8" s="483"/>
    </row>
    <row r="9" spans="2:9" s="484" customFormat="1" ht="19.5" customHeight="1">
      <c r="B9" s="478"/>
      <c r="C9" s="501" t="s">
        <v>210</v>
      </c>
      <c r="D9" s="510">
        <v>77</v>
      </c>
      <c r="E9" s="511">
        <v>101</v>
      </c>
      <c r="F9" s="511">
        <v>330</v>
      </c>
      <c r="G9" s="512" t="s">
        <v>0</v>
      </c>
      <c r="H9" s="513">
        <v>2.15</v>
      </c>
      <c r="I9" s="483"/>
    </row>
    <row r="10" spans="2:9" s="484" customFormat="1" ht="19.5" customHeight="1">
      <c r="B10" s="488"/>
      <c r="C10" s="586" t="s">
        <v>180</v>
      </c>
      <c r="D10" s="587">
        <f>D9/D8-1</f>
        <v>-0.536144578313253</v>
      </c>
      <c r="E10" s="588">
        <f>E9/E8-1</f>
        <v>-0.3765432098765432</v>
      </c>
      <c r="F10" s="588">
        <f>F9/F8-1</f>
        <v>-0.639344262295082</v>
      </c>
      <c r="G10" s="590" t="s">
        <v>0</v>
      </c>
      <c r="H10" s="591">
        <f>H9/H8-1</f>
        <v>0.3109756097560976</v>
      </c>
      <c r="I10" s="493"/>
    </row>
    <row r="11" spans="2:9" s="484" customFormat="1" ht="19.5" customHeight="1">
      <c r="B11" s="592"/>
      <c r="C11" s="593"/>
      <c r="D11" s="594"/>
      <c r="E11" s="594"/>
      <c r="F11" s="594"/>
      <c r="G11" s="595"/>
      <c r="H11" s="595"/>
      <c r="I11" s="596"/>
    </row>
    <row r="12" spans="2:9" s="147" customFormat="1" ht="15.75" thickBot="1">
      <c r="B12" s="495"/>
      <c r="C12" s="496" t="s">
        <v>205</v>
      </c>
      <c r="D12" s="515"/>
      <c r="E12" s="515"/>
      <c r="F12" s="515"/>
      <c r="G12" s="515"/>
      <c r="H12" s="515"/>
      <c r="I12" s="516"/>
    </row>
    <row r="13" s="147" customFormat="1" ht="15.75" thickTop="1"/>
    <row r="14" s="1" customFormat="1" ht="15">
      <c r="C14" s="1" t="s">
        <v>202</v>
      </c>
    </row>
  </sheetData>
  <sheetProtection/>
  <mergeCells count="3">
    <mergeCell ref="C3:H3"/>
    <mergeCell ref="C4:H4"/>
    <mergeCell ref="D6:H6"/>
  </mergeCells>
  <printOptions/>
  <pageMargins left="0.7" right="0.7" top="0.75" bottom="0.75" header="0.3" footer="0.3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I14"/>
  <sheetViews>
    <sheetView zoomScale="90" zoomScaleNormal="90" zoomScalePageLayoutView="0" workbookViewId="0" topLeftCell="A1">
      <selection activeCell="C5" sqref="C5"/>
    </sheetView>
  </sheetViews>
  <sheetFormatPr defaultColWidth="9.140625" defaultRowHeight="15"/>
  <cols>
    <col min="1" max="1" width="9.140625" style="523" customWidth="1"/>
    <col min="2" max="2" width="3.7109375" style="523" customWidth="1"/>
    <col min="3" max="3" width="35.7109375" style="523" customWidth="1"/>
    <col min="4" max="8" width="17.7109375" style="523" customWidth="1"/>
    <col min="9" max="9" width="3.7109375" style="523" customWidth="1"/>
    <col min="10" max="16384" width="9.140625" style="523" customWidth="1"/>
  </cols>
  <sheetData>
    <row r="1" s="147" customFormat="1" ht="15.75" thickBot="1"/>
    <row r="2" spans="2:9" s="147" customFormat="1" ht="15.75" thickTop="1">
      <c r="B2" s="467"/>
      <c r="C2" s="468"/>
      <c r="D2" s="468"/>
      <c r="E2" s="468"/>
      <c r="F2" s="468"/>
      <c r="G2" s="468"/>
      <c r="H2" s="468"/>
      <c r="I2" s="469"/>
    </row>
    <row r="3" spans="2:9" s="147" customFormat="1" ht="18.75">
      <c r="B3" s="470"/>
      <c r="C3" s="690" t="s">
        <v>183</v>
      </c>
      <c r="D3" s="691"/>
      <c r="E3" s="691"/>
      <c r="F3" s="691"/>
      <c r="G3" s="691"/>
      <c r="H3" s="692"/>
      <c r="I3" s="471"/>
    </row>
    <row r="4" spans="2:9" s="147" customFormat="1" ht="18.75">
      <c r="B4" s="470"/>
      <c r="C4" s="700" t="s">
        <v>212</v>
      </c>
      <c r="D4" s="701"/>
      <c r="E4" s="701"/>
      <c r="F4" s="701"/>
      <c r="G4" s="701"/>
      <c r="H4" s="702"/>
      <c r="I4" s="471"/>
    </row>
    <row r="5" spans="2:9" s="147" customFormat="1" ht="15">
      <c r="B5" s="470"/>
      <c r="C5" s="472"/>
      <c r="D5" s="473"/>
      <c r="E5" s="473"/>
      <c r="F5" s="473"/>
      <c r="G5" s="473"/>
      <c r="H5" s="473"/>
      <c r="I5" s="471"/>
    </row>
    <row r="6" spans="2:9" s="147" customFormat="1" ht="18" customHeight="1">
      <c r="B6" s="470"/>
      <c r="C6" s="473"/>
      <c r="D6" s="696" t="s">
        <v>176</v>
      </c>
      <c r="E6" s="697"/>
      <c r="F6" s="697"/>
      <c r="G6" s="697"/>
      <c r="H6" s="698"/>
      <c r="I6" s="474"/>
    </row>
    <row r="7" spans="2:9" s="484" customFormat="1" ht="19.5" customHeight="1">
      <c r="B7" s="488"/>
      <c r="C7" s="473"/>
      <c r="D7" s="475" t="s">
        <v>184</v>
      </c>
      <c r="E7" s="476" t="s">
        <v>185</v>
      </c>
      <c r="F7" s="476" t="s">
        <v>186</v>
      </c>
      <c r="G7" s="476" t="s">
        <v>179</v>
      </c>
      <c r="H7" s="477" t="s">
        <v>70</v>
      </c>
      <c r="I7" s="471"/>
    </row>
    <row r="8" spans="2:9" s="484" customFormat="1" ht="19.5" customHeight="1">
      <c r="B8" s="478"/>
      <c r="C8" s="479" t="s">
        <v>209</v>
      </c>
      <c r="D8" s="498">
        <v>0.04072916666666666</v>
      </c>
      <c r="E8" s="499">
        <v>2.704469273743017</v>
      </c>
      <c r="F8" s="499">
        <v>542.1390468933487</v>
      </c>
      <c r="G8" s="499">
        <v>0.05960112359550561</v>
      </c>
      <c r="H8" s="500" t="s">
        <v>0</v>
      </c>
      <c r="I8" s="483"/>
    </row>
    <row r="9" spans="2:9" s="484" customFormat="1" ht="19.5" customHeight="1">
      <c r="B9" s="478"/>
      <c r="C9" s="501" t="s">
        <v>210</v>
      </c>
      <c r="D9" s="502">
        <v>0.030913242009132366</v>
      </c>
      <c r="E9" s="503">
        <v>2.0593350383631717</v>
      </c>
      <c r="F9" s="503">
        <v>562.359434530294</v>
      </c>
      <c r="G9" s="503">
        <v>0.07065535248041759</v>
      </c>
      <c r="H9" s="504" t="s">
        <v>0</v>
      </c>
      <c r="I9" s="483"/>
    </row>
    <row r="10" spans="2:9" s="484" customFormat="1" ht="19.5" customHeight="1">
      <c r="B10" s="488"/>
      <c r="C10" s="586" t="s">
        <v>180</v>
      </c>
      <c r="D10" s="587">
        <f>D9/D8-1</f>
        <v>-0.24100479977577804</v>
      </c>
      <c r="E10" s="588">
        <f>E9/E8-1</f>
        <v>-0.23854374743439855</v>
      </c>
      <c r="F10" s="588">
        <f>F9/F8-1</f>
        <v>0.03729741982765389</v>
      </c>
      <c r="G10" s="588">
        <f>G9/G8-1</f>
        <v>0.1854701424747227</v>
      </c>
      <c r="H10" s="591" t="s">
        <v>0</v>
      </c>
      <c r="I10" s="493"/>
    </row>
    <row r="11" spans="2:9" s="484" customFormat="1" ht="19.5" customHeight="1">
      <c r="B11" s="592"/>
      <c r="C11" s="593"/>
      <c r="D11" s="594"/>
      <c r="E11" s="594"/>
      <c r="F11" s="594"/>
      <c r="G11" s="594"/>
      <c r="H11" s="595"/>
      <c r="I11" s="596"/>
    </row>
    <row r="12" spans="2:9" s="147" customFormat="1" ht="15.75" thickBot="1">
      <c r="B12" s="517"/>
      <c r="C12" s="496" t="s">
        <v>208</v>
      </c>
      <c r="D12" s="518"/>
      <c r="E12" s="519"/>
      <c r="F12" s="518"/>
      <c r="G12" s="518"/>
      <c r="H12" s="518"/>
      <c r="I12" s="516"/>
    </row>
    <row r="13" spans="2:9" s="147" customFormat="1" ht="15.75" thickTop="1">
      <c r="B13" s="16"/>
      <c r="C13" s="520"/>
      <c r="D13" s="521"/>
      <c r="E13" s="522"/>
      <c r="F13" s="521"/>
      <c r="G13" s="521"/>
      <c r="H13" s="521"/>
      <c r="I13" s="16"/>
    </row>
    <row r="14" s="1" customFormat="1" ht="15">
      <c r="C14" s="1" t="s">
        <v>202</v>
      </c>
    </row>
  </sheetData>
  <sheetProtection/>
  <mergeCells count="3">
    <mergeCell ref="C3:H3"/>
    <mergeCell ref="C4:H4"/>
    <mergeCell ref="D6:H6"/>
  </mergeCells>
  <printOptions/>
  <pageMargins left="0.7" right="0.7" top="0.75" bottom="0.75" header="0.3" footer="0.3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2:I14"/>
  <sheetViews>
    <sheetView zoomScale="90" zoomScaleNormal="90" zoomScalePageLayoutView="0" workbookViewId="0" topLeftCell="A1">
      <selection activeCell="C5" sqref="C5"/>
    </sheetView>
  </sheetViews>
  <sheetFormatPr defaultColWidth="9.140625" defaultRowHeight="15"/>
  <cols>
    <col min="1" max="1" width="9.140625" style="150" customWidth="1"/>
    <col min="2" max="2" width="3.7109375" style="150" customWidth="1"/>
    <col min="3" max="3" width="35.7109375" style="150" customWidth="1"/>
    <col min="4" max="8" width="17.7109375" style="150" customWidth="1"/>
    <col min="9" max="9" width="3.7109375" style="150" customWidth="1"/>
    <col min="10" max="16384" width="9.140625" style="150" customWidth="1"/>
  </cols>
  <sheetData>
    <row r="1" s="147" customFormat="1" ht="15.75" thickBot="1"/>
    <row r="2" spans="2:9" s="147" customFormat="1" ht="15.75" thickTop="1">
      <c r="B2" s="467"/>
      <c r="C2" s="468"/>
      <c r="D2" s="468"/>
      <c r="E2" s="468"/>
      <c r="F2" s="468"/>
      <c r="G2" s="468"/>
      <c r="H2" s="468"/>
      <c r="I2" s="469"/>
    </row>
    <row r="3" spans="2:9" s="147" customFormat="1" ht="18.75">
      <c r="B3" s="470"/>
      <c r="C3" s="690" t="s">
        <v>189</v>
      </c>
      <c r="D3" s="691"/>
      <c r="E3" s="691"/>
      <c r="F3" s="691"/>
      <c r="G3" s="691"/>
      <c r="H3" s="692"/>
      <c r="I3" s="471"/>
    </row>
    <row r="4" spans="2:9" s="147" customFormat="1" ht="18.75">
      <c r="B4" s="470"/>
      <c r="C4" s="700" t="s">
        <v>212</v>
      </c>
      <c r="D4" s="701"/>
      <c r="E4" s="701"/>
      <c r="F4" s="701"/>
      <c r="G4" s="701"/>
      <c r="H4" s="702"/>
      <c r="I4" s="471"/>
    </row>
    <row r="5" spans="2:9" s="147" customFormat="1" ht="15">
      <c r="B5" s="470"/>
      <c r="C5" s="472"/>
      <c r="D5" s="473"/>
      <c r="E5" s="473"/>
      <c r="F5" s="473"/>
      <c r="G5" s="473"/>
      <c r="H5" s="473"/>
      <c r="I5" s="471"/>
    </row>
    <row r="6" spans="2:9" s="147" customFormat="1" ht="18" customHeight="1">
      <c r="B6" s="470"/>
      <c r="C6" s="473"/>
      <c r="D6" s="696" t="s">
        <v>176</v>
      </c>
      <c r="E6" s="697"/>
      <c r="F6" s="697"/>
      <c r="G6" s="697"/>
      <c r="H6" s="698"/>
      <c r="I6" s="474"/>
    </row>
    <row r="7" spans="2:9" s="147" customFormat="1" ht="18">
      <c r="B7" s="470"/>
      <c r="C7" s="473"/>
      <c r="D7" s="475" t="s">
        <v>184</v>
      </c>
      <c r="E7" s="476" t="s">
        <v>185</v>
      </c>
      <c r="F7" s="476" t="s">
        <v>186</v>
      </c>
      <c r="G7" s="476" t="s">
        <v>187</v>
      </c>
      <c r="H7" s="477" t="s">
        <v>70</v>
      </c>
      <c r="I7" s="471"/>
    </row>
    <row r="8" spans="2:9" s="484" customFormat="1" ht="19.5" customHeight="1">
      <c r="B8" s="478"/>
      <c r="C8" s="479" t="s">
        <v>209</v>
      </c>
      <c r="D8" s="498">
        <v>0.04072916666666666</v>
      </c>
      <c r="E8" s="499">
        <v>2.704469273743017</v>
      </c>
      <c r="F8" s="499">
        <v>542.1390468933487</v>
      </c>
      <c r="G8" s="499">
        <v>0.05960112359550561</v>
      </c>
      <c r="H8" s="500" t="s">
        <v>0</v>
      </c>
      <c r="I8" s="483"/>
    </row>
    <row r="9" spans="2:9" s="484" customFormat="1" ht="19.5" customHeight="1">
      <c r="B9" s="478"/>
      <c r="C9" s="501" t="s">
        <v>210</v>
      </c>
      <c r="D9" s="502">
        <v>0.030913242009132366</v>
      </c>
      <c r="E9" s="503">
        <v>2.0593350383631717</v>
      </c>
      <c r="F9" s="503">
        <v>562.359434530294</v>
      </c>
      <c r="G9" s="503">
        <v>0.07065535248041759</v>
      </c>
      <c r="H9" s="504" t="s">
        <v>0</v>
      </c>
      <c r="I9" s="483"/>
    </row>
    <row r="10" spans="2:9" s="484" customFormat="1" ht="19.5" customHeight="1">
      <c r="B10" s="488"/>
      <c r="C10" s="586" t="s">
        <v>180</v>
      </c>
      <c r="D10" s="587">
        <f>D9/D8-1</f>
        <v>-0.24100479977577804</v>
      </c>
      <c r="E10" s="588">
        <f>E9/E8-1</f>
        <v>-0.23854374743439855</v>
      </c>
      <c r="F10" s="588">
        <f>F9/F8-1</f>
        <v>0.03729741982765389</v>
      </c>
      <c r="G10" s="588">
        <f>G9/G8-1</f>
        <v>0.1854701424747227</v>
      </c>
      <c r="H10" s="591" t="s">
        <v>0</v>
      </c>
      <c r="I10" s="493"/>
    </row>
    <row r="11" spans="2:9" s="484" customFormat="1" ht="19.5" customHeight="1">
      <c r="B11" s="592"/>
      <c r="C11" s="593"/>
      <c r="D11" s="594"/>
      <c r="E11" s="594"/>
      <c r="F11" s="594"/>
      <c r="G11" s="594"/>
      <c r="H11" s="595"/>
      <c r="I11" s="493"/>
    </row>
    <row r="12" spans="2:9" s="147" customFormat="1" ht="15.75" thickBot="1">
      <c r="B12" s="495"/>
      <c r="C12" s="496" t="s">
        <v>208</v>
      </c>
      <c r="D12" s="496"/>
      <c r="E12" s="496"/>
      <c r="F12" s="496"/>
      <c r="G12" s="496"/>
      <c r="H12" s="496"/>
      <c r="I12" s="497"/>
    </row>
    <row r="13" s="147" customFormat="1" ht="15.75" thickTop="1"/>
    <row r="14" s="1" customFormat="1" ht="15">
      <c r="C14" s="1" t="s">
        <v>202</v>
      </c>
    </row>
  </sheetData>
  <sheetProtection/>
  <mergeCells count="3">
    <mergeCell ref="C3:H3"/>
    <mergeCell ref="C4:H4"/>
    <mergeCell ref="D6:H6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Kyle Ulmer</dc:creator>
  <cp:keywords/>
  <dc:description/>
  <cp:lastModifiedBy>Max Lee</cp:lastModifiedBy>
  <cp:lastPrinted>2014-06-18T05:02:48Z</cp:lastPrinted>
  <dcterms:created xsi:type="dcterms:W3CDTF">2010-12-07T18:24:38Z</dcterms:created>
  <dcterms:modified xsi:type="dcterms:W3CDTF">2015-01-13T16:11:01Z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oogle.Documents.Tracking">
    <vt:lpwstr>true</vt:lpwstr>
  </property>
  <property fmtid="{D5CDD505-2E9C-101B-9397-08002B2CF9AE}" pid="3" name="Google.Documents.DocumentId">
    <vt:lpwstr>1o7vLW2UQUgwpP9KnZ2QwnPfl4dvHj_-pMK8KAysNGEs</vt:lpwstr>
  </property>
  <property fmtid="{D5CDD505-2E9C-101B-9397-08002B2CF9AE}" pid="4" name="Google.Documents.RevisionId">
    <vt:lpwstr>01392990681458288005</vt:lpwstr>
  </property>
  <property fmtid="{D5CDD505-2E9C-101B-9397-08002B2CF9AE}" pid="5" name="Google.Documents.PluginVersion">
    <vt:lpwstr>2.0.2662.553</vt:lpwstr>
  </property>
  <property fmtid="{D5CDD505-2E9C-101B-9397-08002B2CF9AE}" pid="6" name="Google.Documents.MergeIncapabilityFlags">
    <vt:i4>0</vt:i4>
  </property>
</Properties>
</file>